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workbookProtection workbookPassword="C50A" lockStructure="1"/>
  <bookViews>
    <workbookView xWindow="0" yWindow="0" windowWidth="13305" windowHeight="11220" tabRatio="839" activeTab="9"/>
  </bookViews>
  <sheets>
    <sheet name="Cover" sheetId="7" r:id="rId1"/>
    <sheet name="Summary sheet" sheetId="14" r:id="rId2"/>
    <sheet name="Project details" sheetId="15" state="hidden" r:id="rId3"/>
    <sheet name="Statement of originality" sheetId="17" r:id="rId4"/>
    <sheet name="Contents" sheetId="16" r:id="rId5"/>
    <sheet name="CERtuS in brief" sheetId="8" r:id="rId6"/>
    <sheet name="About" sheetId="10" r:id="rId7"/>
    <sheet name="ACTION" sheetId="4" r:id="rId8"/>
    <sheet name="Help" sheetId="11" r:id="rId9"/>
    <sheet name="Example" sheetId="12" r:id="rId10"/>
    <sheet name="Acknowledgements" sheetId="18" r:id="rId11"/>
    <sheet name="CERtuS partners" sheetId="6" r:id="rId12"/>
    <sheet name="Sheet1" sheetId="5" state="hidden" r:id="rId13"/>
  </sheets>
  <definedNames>
    <definedName name="_xlnm.Print_Area" localSheetId="7">ACTION!$B$2:$O$211</definedName>
  </definedNames>
  <calcPr calcId="152511"/>
</workbook>
</file>

<file path=xl/calcChain.xml><?xml version="1.0" encoding="utf-8"?>
<calcChain xmlns="http://schemas.openxmlformats.org/spreadsheetml/2006/main">
  <c r="N106" i="5" l="1"/>
  <c r="M106" i="5"/>
  <c r="J106" i="5"/>
  <c r="I106" i="5"/>
  <c r="H106" i="5"/>
  <c r="N105" i="5"/>
  <c r="M105" i="5"/>
  <c r="J105" i="5"/>
  <c r="I105" i="5"/>
  <c r="H105" i="5"/>
  <c r="N104" i="5"/>
  <c r="M104" i="5"/>
  <c r="J104" i="5"/>
  <c r="I104" i="5"/>
  <c r="H104" i="5"/>
  <c r="N103" i="5"/>
  <c r="M103" i="5"/>
  <c r="J103" i="5"/>
  <c r="I103" i="5"/>
  <c r="H103" i="5"/>
  <c r="N102" i="5"/>
  <c r="M102" i="5"/>
  <c r="J102" i="5"/>
  <c r="I102" i="5"/>
  <c r="H102" i="5"/>
  <c r="N101" i="5"/>
  <c r="M101" i="5"/>
  <c r="J101" i="5"/>
  <c r="I101" i="5"/>
  <c r="H101" i="5"/>
  <c r="N100" i="5"/>
  <c r="M100" i="5"/>
  <c r="J100" i="5"/>
  <c r="I100" i="5"/>
  <c r="H100" i="5"/>
  <c r="N99" i="5"/>
  <c r="O99" i="5" s="1"/>
  <c r="M99" i="5"/>
  <c r="J99" i="5"/>
  <c r="I99" i="5"/>
  <c r="H99" i="5"/>
  <c r="N98" i="5"/>
  <c r="M98" i="5"/>
  <c r="J98" i="5"/>
  <c r="I98" i="5"/>
  <c r="H98" i="5"/>
  <c r="N97" i="5"/>
  <c r="M97" i="5"/>
  <c r="J97" i="5"/>
  <c r="I97" i="5"/>
  <c r="H97" i="5"/>
  <c r="H87" i="5"/>
  <c r="K84" i="5"/>
  <c r="I81" i="5"/>
  <c r="E81" i="5"/>
  <c r="F47" i="5"/>
  <c r="C47" i="5"/>
  <c r="C48" i="5" s="1"/>
  <c r="H89" i="5" s="1"/>
  <c r="K46" i="5"/>
  <c r="J46" i="5"/>
  <c r="I156" i="4" s="1"/>
  <c r="F46" i="5"/>
  <c r="E41" i="5"/>
  <c r="G7" i="5"/>
  <c r="G6" i="5"/>
  <c r="C6" i="5"/>
  <c r="C154" i="4"/>
  <c r="E154" i="4"/>
  <c r="G154" i="4"/>
  <c r="J156" i="4"/>
  <c r="J87" i="5" s="1"/>
  <c r="J157" i="4"/>
  <c r="J88" i="5" s="1"/>
  <c r="J158" i="4"/>
  <c r="J89" i="5" s="1"/>
  <c r="J159" i="4"/>
  <c r="J90" i="5" s="1"/>
  <c r="J160" i="4"/>
  <c r="J91" i="5" s="1"/>
  <c r="J161" i="4"/>
  <c r="J92" i="5" s="1"/>
  <c r="J162" i="4"/>
  <c r="J93" i="5" s="1"/>
  <c r="J163" i="4"/>
  <c r="J94" i="5" s="1"/>
  <c r="J164" i="4"/>
  <c r="J95" i="5" s="1"/>
  <c r="J165" i="4"/>
  <c r="J96" i="5" s="1"/>
  <c r="J166" i="4"/>
  <c r="J167" i="4"/>
  <c r="J168" i="4"/>
  <c r="J169" i="4"/>
  <c r="J170" i="4"/>
  <c r="J171" i="4"/>
  <c r="J172" i="4"/>
  <c r="J173" i="4"/>
  <c r="J174" i="4"/>
  <c r="J175" i="4"/>
  <c r="J176" i="4"/>
  <c r="J177" i="4"/>
  <c r="J178" i="4"/>
  <c r="J179" i="4"/>
  <c r="J180" i="4"/>
  <c r="J181" i="4"/>
  <c r="K181" i="4"/>
  <c r="J182" i="4"/>
  <c r="K182" i="4"/>
  <c r="J183" i="4"/>
  <c r="K183" i="4"/>
  <c r="J184" i="4"/>
  <c r="K184" i="4"/>
  <c r="J185" i="4"/>
  <c r="K185" i="4"/>
  <c r="J186" i="4"/>
  <c r="K186" i="4"/>
  <c r="J187" i="4"/>
  <c r="K187" i="4"/>
  <c r="J188" i="4"/>
  <c r="K188" i="4"/>
  <c r="J189" i="4"/>
  <c r="K189" i="4"/>
  <c r="J190" i="4"/>
  <c r="K190" i="4"/>
  <c r="D191" i="4"/>
  <c r="H191" i="4"/>
  <c r="K196" i="4"/>
  <c r="O103" i="5" l="1"/>
  <c r="O100" i="5"/>
  <c r="O104" i="5"/>
  <c r="G8" i="5"/>
  <c r="O97" i="5"/>
  <c r="O101" i="5"/>
  <c r="O105" i="5"/>
  <c r="G9" i="5"/>
  <c r="O98" i="5"/>
  <c r="O102" i="5"/>
  <c r="J107" i="5"/>
  <c r="J191" i="4"/>
  <c r="H88" i="5"/>
  <c r="F6" i="5"/>
  <c r="H6" i="5"/>
  <c r="C7" i="5"/>
  <c r="F49" i="5"/>
  <c r="J48" i="5"/>
  <c r="C49" i="5"/>
  <c r="H90" i="5" s="1"/>
  <c r="K48" i="5"/>
  <c r="G47" i="5"/>
  <c r="J47" i="5"/>
  <c r="I157" i="4" s="1"/>
  <c r="F48" i="5"/>
  <c r="G46" i="5"/>
  <c r="K87" i="5" s="1"/>
  <c r="K47" i="5"/>
  <c r="K39" i="4"/>
  <c r="D5" i="5" s="1"/>
  <c r="J30" i="4"/>
  <c r="J29" i="4"/>
  <c r="K28" i="4"/>
  <c r="D41" i="5" l="1"/>
  <c r="I5" i="5"/>
  <c r="K88" i="5"/>
  <c r="F156" i="4"/>
  <c r="C8" i="5"/>
  <c r="H7" i="5"/>
  <c r="F7" i="5"/>
  <c r="I6" i="5"/>
  <c r="G48" i="5"/>
  <c r="F157" i="4"/>
  <c r="C50" i="5"/>
  <c r="H91" i="5" s="1"/>
  <c r="K49" i="5"/>
  <c r="F50" i="5"/>
  <c r="J49" i="5"/>
  <c r="G49" i="5"/>
  <c r="K90" i="5" s="1"/>
  <c r="G10" i="5"/>
  <c r="K44" i="4"/>
  <c r="I7" i="5" l="1"/>
  <c r="M5" i="5"/>
  <c r="J5" i="5"/>
  <c r="J6" i="5" s="1"/>
  <c r="K89" i="5"/>
  <c r="F51" i="5"/>
  <c r="J50" i="5"/>
  <c r="G50" i="5"/>
  <c r="K91" i="5" s="1"/>
  <c r="C51" i="5"/>
  <c r="H92" i="5" s="1"/>
  <c r="K50" i="5"/>
  <c r="G11" i="5"/>
  <c r="L6" i="5"/>
  <c r="L7" i="5"/>
  <c r="C9" i="5"/>
  <c r="H8" i="5"/>
  <c r="F8" i="5"/>
  <c r="F158" i="4"/>
  <c r="I159" i="4"/>
  <c r="F159" i="4"/>
  <c r="I158" i="4"/>
  <c r="E68" i="4"/>
  <c r="I8" i="5" l="1"/>
  <c r="C10" i="5"/>
  <c r="H9" i="5"/>
  <c r="F9" i="5"/>
  <c r="K5" i="5"/>
  <c r="C52" i="5"/>
  <c r="H93" i="5" s="1"/>
  <c r="K51" i="5"/>
  <c r="F52" i="5"/>
  <c r="J51" i="5"/>
  <c r="G51" i="5"/>
  <c r="K92" i="5" s="1"/>
  <c r="G12" i="5"/>
  <c r="J7" i="5"/>
  <c r="F160" i="4"/>
  <c r="J55" i="4"/>
  <c r="I9" i="5" l="1"/>
  <c r="L9" i="5"/>
  <c r="F53" i="5"/>
  <c r="J52" i="5"/>
  <c r="G52" i="5"/>
  <c r="C53" i="5"/>
  <c r="H94" i="5" s="1"/>
  <c r="K52" i="5"/>
  <c r="G13" i="5"/>
  <c r="C11" i="5"/>
  <c r="H10" i="5"/>
  <c r="F10" i="5"/>
  <c r="J8" i="5"/>
  <c r="K7" i="5" s="1"/>
  <c r="L8" i="5"/>
  <c r="K6" i="5"/>
  <c r="I161" i="4"/>
  <c r="F161" i="4"/>
  <c r="I160" i="4"/>
  <c r="F56" i="4"/>
  <c r="K93" i="5" l="1"/>
  <c r="C12" i="5"/>
  <c r="H11" i="5"/>
  <c r="F11" i="5"/>
  <c r="I10" i="5"/>
  <c r="C54" i="5"/>
  <c r="H95" i="5" s="1"/>
  <c r="K53" i="5"/>
  <c r="F54" i="5"/>
  <c r="J53" i="5"/>
  <c r="G53" i="5"/>
  <c r="K94" i="5" s="1"/>
  <c r="G14" i="5"/>
  <c r="J9" i="5"/>
  <c r="K8" i="5" s="1"/>
  <c r="K55" i="4"/>
  <c r="I11" i="5" l="1"/>
  <c r="F55" i="5"/>
  <c r="J54" i="5"/>
  <c r="G54" i="5"/>
  <c r="K95" i="5" s="1"/>
  <c r="C55" i="5"/>
  <c r="H96" i="5" s="1"/>
  <c r="K54" i="5"/>
  <c r="G15" i="5"/>
  <c r="C13" i="5"/>
  <c r="H12" i="5"/>
  <c r="F12" i="5"/>
  <c r="L10" i="5"/>
  <c r="J10" i="5"/>
  <c r="L11" i="5"/>
  <c r="I163" i="4"/>
  <c r="F163" i="4"/>
  <c r="I162" i="4"/>
  <c r="F162" i="4"/>
  <c r="H56" i="4"/>
  <c r="H54" i="5" s="1"/>
  <c r="L54" i="5" s="1"/>
  <c r="H46" i="5" l="1"/>
  <c r="L46" i="5" s="1"/>
  <c r="H47" i="5"/>
  <c r="L47" i="5" s="1"/>
  <c r="H48" i="5"/>
  <c r="L48" i="5" s="1"/>
  <c r="H49" i="5"/>
  <c r="L49" i="5" s="1"/>
  <c r="H50" i="5"/>
  <c r="L50" i="5" s="1"/>
  <c r="H51" i="5"/>
  <c r="L51" i="5" s="1"/>
  <c r="H52" i="5"/>
  <c r="L52" i="5" s="1"/>
  <c r="H53" i="5"/>
  <c r="L53" i="5" s="1"/>
  <c r="H107" i="5"/>
  <c r="I12" i="5"/>
  <c r="C14" i="5"/>
  <c r="H13" i="5"/>
  <c r="F13" i="5"/>
  <c r="K9" i="5"/>
  <c r="J11" i="5"/>
  <c r="C56" i="5"/>
  <c r="K55" i="5"/>
  <c r="H55" i="5"/>
  <c r="F56" i="5"/>
  <c r="J55" i="5"/>
  <c r="G55" i="5"/>
  <c r="K96" i="5" s="1"/>
  <c r="G16" i="5"/>
  <c r="G164" i="4"/>
  <c r="I56" i="4"/>
  <c r="E86" i="5" s="1"/>
  <c r="L55" i="5" l="1"/>
  <c r="G163" i="4"/>
  <c r="K163" i="4" s="1"/>
  <c r="G86" i="5"/>
  <c r="L86" i="5" s="1"/>
  <c r="C15" i="5"/>
  <c r="H14" i="5"/>
  <c r="F14" i="5"/>
  <c r="L12" i="5"/>
  <c r="J12" i="5"/>
  <c r="K11" i="5" s="1"/>
  <c r="K10" i="5"/>
  <c r="I13" i="5"/>
  <c r="F57" i="5"/>
  <c r="J56" i="5"/>
  <c r="G56" i="5"/>
  <c r="C57" i="5"/>
  <c r="K56" i="5"/>
  <c r="H56" i="5"/>
  <c r="G17" i="5"/>
  <c r="G165" i="4"/>
  <c r="I165" i="4"/>
  <c r="F165" i="4"/>
  <c r="I164" i="4"/>
  <c r="G161" i="4"/>
  <c r="K161" i="4" s="1"/>
  <c r="G159" i="4"/>
  <c r="K159" i="4" s="1"/>
  <c r="G157" i="4"/>
  <c r="K157" i="4" s="1"/>
  <c r="F164" i="4"/>
  <c r="K164" i="4" s="1"/>
  <c r="G162" i="4"/>
  <c r="K162" i="4" s="1"/>
  <c r="G160" i="4"/>
  <c r="K160" i="4" s="1"/>
  <c r="G158" i="4"/>
  <c r="K158" i="4" s="1"/>
  <c r="G156" i="4"/>
  <c r="I66" i="4"/>
  <c r="H62" i="4"/>
  <c r="G56" i="4"/>
  <c r="E155" i="4" s="1"/>
  <c r="E191" i="4" s="1"/>
  <c r="I14" i="5" l="1"/>
  <c r="N86" i="5"/>
  <c r="I95" i="5"/>
  <c r="L95" i="5" s="1"/>
  <c r="I93" i="5"/>
  <c r="L93" i="5" s="1"/>
  <c r="I91" i="5"/>
  <c r="L91" i="5" s="1"/>
  <c r="I89" i="5"/>
  <c r="L89" i="5" s="1"/>
  <c r="I87" i="5"/>
  <c r="I96" i="5"/>
  <c r="L96" i="5" s="1"/>
  <c r="I94" i="5"/>
  <c r="L94" i="5" s="1"/>
  <c r="I92" i="5"/>
  <c r="L92" i="5" s="1"/>
  <c r="I90" i="5"/>
  <c r="L90" i="5" s="1"/>
  <c r="I88" i="5"/>
  <c r="L88" i="5" s="1"/>
  <c r="L56" i="5"/>
  <c r="K97" i="5"/>
  <c r="L97" i="5" s="1"/>
  <c r="C58" i="5"/>
  <c r="K57" i="5"/>
  <c r="H57" i="5"/>
  <c r="F58" i="5"/>
  <c r="J57" i="5"/>
  <c r="G57" i="5"/>
  <c r="G18" i="5"/>
  <c r="L14" i="5"/>
  <c r="L13" i="5"/>
  <c r="J13" i="5"/>
  <c r="C16" i="5"/>
  <c r="H15" i="5"/>
  <c r="F15" i="5"/>
  <c r="K156" i="4"/>
  <c r="K165" i="4"/>
  <c r="K53" i="4"/>
  <c r="J56" i="4"/>
  <c r="M6" i="5" l="1"/>
  <c r="M7" i="5"/>
  <c r="M9" i="5"/>
  <c r="M8" i="5"/>
  <c r="M11" i="5"/>
  <c r="M10" i="5"/>
  <c r="M12" i="5"/>
  <c r="D45" i="5"/>
  <c r="D81" i="5" s="1"/>
  <c r="L45" i="5"/>
  <c r="M13" i="5"/>
  <c r="I107" i="5"/>
  <c r="L87" i="5"/>
  <c r="N87" i="5" s="1"/>
  <c r="O86" i="5" s="1"/>
  <c r="M14" i="5"/>
  <c r="L57" i="5"/>
  <c r="K98" i="5"/>
  <c r="L98" i="5" s="1"/>
  <c r="C17" i="5"/>
  <c r="H16" i="5"/>
  <c r="F16" i="5"/>
  <c r="I15" i="5"/>
  <c r="J14" i="5"/>
  <c r="F59" i="5"/>
  <c r="J58" i="5"/>
  <c r="G58" i="5"/>
  <c r="C59" i="5"/>
  <c r="K58" i="5"/>
  <c r="H58" i="5"/>
  <c r="G19" i="5"/>
  <c r="K12" i="5"/>
  <c r="F200" i="4"/>
  <c r="G166" i="4"/>
  <c r="I166" i="4"/>
  <c r="F166" i="4"/>
  <c r="G167" i="4"/>
  <c r="I167" i="4"/>
  <c r="K56" i="4"/>
  <c r="C155" i="4" s="1"/>
  <c r="O57" i="5" l="1"/>
  <c r="M91" i="5"/>
  <c r="M92" i="5"/>
  <c r="M93" i="5"/>
  <c r="M95" i="5"/>
  <c r="M87" i="5"/>
  <c r="M88" i="5"/>
  <c r="M89" i="5"/>
  <c r="M90" i="5"/>
  <c r="M94" i="5"/>
  <c r="M96" i="5"/>
  <c r="N88" i="5"/>
  <c r="O87" i="5" s="1"/>
  <c r="M45" i="5"/>
  <c r="O46" i="5"/>
  <c r="O48" i="5"/>
  <c r="O49" i="5"/>
  <c r="O50" i="5"/>
  <c r="O51" i="5"/>
  <c r="O52" i="5"/>
  <c r="O53" i="5"/>
  <c r="O54" i="5"/>
  <c r="O55" i="5"/>
  <c r="O47" i="5"/>
  <c r="O56" i="5"/>
  <c r="L58" i="5"/>
  <c r="K99" i="5"/>
  <c r="L99" i="5" s="1"/>
  <c r="I16" i="5"/>
  <c r="M16" i="5" s="1"/>
  <c r="O58" i="5"/>
  <c r="C60" i="5"/>
  <c r="K59" i="5"/>
  <c r="H59" i="5"/>
  <c r="F60" i="5"/>
  <c r="J59" i="5"/>
  <c r="G59" i="5"/>
  <c r="K100" i="5" s="1"/>
  <c r="L100" i="5" s="1"/>
  <c r="G20" i="5"/>
  <c r="K166" i="4"/>
  <c r="K13" i="5"/>
  <c r="J15" i="5"/>
  <c r="K14" i="5" s="1"/>
  <c r="L15" i="5"/>
  <c r="M15" i="5"/>
  <c r="C18" i="5"/>
  <c r="H17" i="5"/>
  <c r="F17" i="5"/>
  <c r="K155" i="4"/>
  <c r="C191" i="4"/>
  <c r="F167" i="4"/>
  <c r="K167" i="4" s="1"/>
  <c r="I168" i="4"/>
  <c r="G168" i="4"/>
  <c r="L16" i="5" l="1"/>
  <c r="G84" i="5"/>
  <c r="L59" i="5"/>
  <c r="M46" i="5"/>
  <c r="M47" i="5" s="1"/>
  <c r="P45" i="5"/>
  <c r="N89" i="5"/>
  <c r="O88" i="5" s="1"/>
  <c r="I17" i="5"/>
  <c r="M17" i="5"/>
  <c r="L17" i="5"/>
  <c r="O59" i="5"/>
  <c r="J16" i="5"/>
  <c r="K15" i="5" s="1"/>
  <c r="C19" i="5"/>
  <c r="H18" i="5"/>
  <c r="F18" i="5"/>
  <c r="F61" i="5"/>
  <c r="J60" i="5"/>
  <c r="G60" i="5"/>
  <c r="C61" i="5"/>
  <c r="K60" i="5"/>
  <c r="H60" i="5"/>
  <c r="G21" i="5"/>
  <c r="I169" i="4"/>
  <c r="F168" i="4"/>
  <c r="K168" i="4" s="1"/>
  <c r="N45" i="5" l="1"/>
  <c r="N90" i="5"/>
  <c r="O89" i="5" s="1"/>
  <c r="P47" i="5"/>
  <c r="P46" i="5"/>
  <c r="P50" i="5"/>
  <c r="P54" i="5"/>
  <c r="P51" i="5"/>
  <c r="P56" i="5"/>
  <c r="P57" i="5"/>
  <c r="P48" i="5"/>
  <c r="P49" i="5"/>
  <c r="P52" i="5"/>
  <c r="P53" i="5"/>
  <c r="P55" i="5"/>
  <c r="P58" i="5"/>
  <c r="P59" i="5"/>
  <c r="N46" i="5"/>
  <c r="M48" i="5"/>
  <c r="M49" i="5" s="1"/>
  <c r="L60" i="5"/>
  <c r="O60" i="5" s="1"/>
  <c r="K101" i="5"/>
  <c r="L101" i="5" s="1"/>
  <c r="P60" i="5"/>
  <c r="C20" i="5"/>
  <c r="H19" i="5"/>
  <c r="F19" i="5"/>
  <c r="I18" i="5"/>
  <c r="J17" i="5"/>
  <c r="K16" i="5" s="1"/>
  <c r="C62" i="5"/>
  <c r="K61" i="5"/>
  <c r="H61" i="5"/>
  <c r="F62" i="5"/>
  <c r="J61" i="5"/>
  <c r="G61" i="5"/>
  <c r="G22" i="5"/>
  <c r="I170" i="4"/>
  <c r="G170" i="4"/>
  <c r="G169" i="4"/>
  <c r="F169" i="4"/>
  <c r="N47" i="5" l="1"/>
  <c r="N48" i="5"/>
  <c r="M50" i="5"/>
  <c r="N91" i="5"/>
  <c r="N92" i="5" s="1"/>
  <c r="L61" i="5"/>
  <c r="O61" i="5" s="1"/>
  <c r="K102" i="5"/>
  <c r="L102" i="5" s="1"/>
  <c r="P61" i="5"/>
  <c r="F63" i="5"/>
  <c r="J62" i="5"/>
  <c r="G62" i="5"/>
  <c r="C63" i="5"/>
  <c r="K62" i="5"/>
  <c r="H62" i="5"/>
  <c r="G23" i="5"/>
  <c r="C21" i="5"/>
  <c r="H20" i="5"/>
  <c r="F20" i="5"/>
  <c r="K169" i="4"/>
  <c r="I19" i="5"/>
  <c r="M19" i="5" s="1"/>
  <c r="M18" i="5"/>
  <c r="L18" i="5"/>
  <c r="J18" i="5"/>
  <c r="I171" i="4"/>
  <c r="F171" i="4"/>
  <c r="F170" i="4"/>
  <c r="K170" i="4" s="1"/>
  <c r="O90" i="5" l="1"/>
  <c r="I20" i="5"/>
  <c r="M20" i="5" s="1"/>
  <c r="O91" i="5"/>
  <c r="N93" i="5"/>
  <c r="O92" i="5" s="1"/>
  <c r="N49" i="5"/>
  <c r="M51" i="5"/>
  <c r="L19" i="5"/>
  <c r="L62" i="5"/>
  <c r="K103" i="5"/>
  <c r="L103" i="5" s="1"/>
  <c r="P62" i="5"/>
  <c r="O62" i="5"/>
  <c r="C22" i="5"/>
  <c r="H21" i="5"/>
  <c r="F21" i="5"/>
  <c r="C64" i="5"/>
  <c r="K63" i="5"/>
  <c r="H63" i="5"/>
  <c r="F64" i="5"/>
  <c r="J63" i="5"/>
  <c r="G63" i="5"/>
  <c r="K104" i="5" s="1"/>
  <c r="L104" i="5" s="1"/>
  <c r="G24" i="5"/>
  <c r="K17" i="5"/>
  <c r="J19" i="5"/>
  <c r="K18" i="5" s="1"/>
  <c r="L20" i="5"/>
  <c r="I172" i="4"/>
  <c r="G172" i="4"/>
  <c r="G171" i="4"/>
  <c r="K171" i="4" s="1"/>
  <c r="N50" i="5" l="1"/>
  <c r="M52" i="5"/>
  <c r="L63" i="5"/>
  <c r="O63" i="5" s="1"/>
  <c r="N94" i="5"/>
  <c r="O93" i="5" s="1"/>
  <c r="I21" i="5"/>
  <c r="L21" i="5" s="1"/>
  <c r="F65" i="5"/>
  <c r="J64" i="5"/>
  <c r="G64" i="5"/>
  <c r="K105" i="5" s="1"/>
  <c r="L105" i="5" s="1"/>
  <c r="C65" i="5"/>
  <c r="K64" i="5"/>
  <c r="H64" i="5"/>
  <c r="G25" i="5"/>
  <c r="C23" i="5"/>
  <c r="H22" i="5"/>
  <c r="F22" i="5"/>
  <c r="P63" i="5"/>
  <c r="M21" i="5"/>
  <c r="J20" i="5"/>
  <c r="K19" i="5" s="1"/>
  <c r="I173" i="4"/>
  <c r="G173" i="4"/>
  <c r="F173" i="4"/>
  <c r="F172" i="4"/>
  <c r="K172" i="4" s="1"/>
  <c r="L64" i="5" l="1"/>
  <c r="P64" i="5" s="1"/>
  <c r="N95" i="5"/>
  <c r="O94" i="5" s="1"/>
  <c r="N51" i="5"/>
  <c r="M53" i="5"/>
  <c r="M54" i="5" s="1"/>
  <c r="I22" i="5"/>
  <c r="M22" i="5" s="1"/>
  <c r="C24" i="5"/>
  <c r="H23" i="5"/>
  <c r="F23" i="5"/>
  <c r="C66" i="5"/>
  <c r="K65" i="5"/>
  <c r="H65" i="5"/>
  <c r="F66" i="5"/>
  <c r="J65" i="5"/>
  <c r="G65" i="5"/>
  <c r="K106" i="5" s="1"/>
  <c r="G26" i="5"/>
  <c r="J21" i="5"/>
  <c r="K20" i="5" s="1"/>
  <c r="O64" i="5"/>
  <c r="G174" i="4"/>
  <c r="I174" i="4"/>
  <c r="K173" i="4"/>
  <c r="F174" i="4"/>
  <c r="K174" i="4" s="1"/>
  <c r="N96" i="5" l="1"/>
  <c r="O96" i="5" s="1"/>
  <c r="L22" i="5"/>
  <c r="N52" i="5"/>
  <c r="N53" i="5"/>
  <c r="M55" i="5"/>
  <c r="L65" i="5"/>
  <c r="O65" i="5" s="1"/>
  <c r="L106" i="5"/>
  <c r="K107" i="5"/>
  <c r="C67" i="5"/>
  <c r="J66" i="5"/>
  <c r="G66" i="5"/>
  <c r="F67" i="5"/>
  <c r="K66" i="5"/>
  <c r="H66" i="5"/>
  <c r="G27" i="5"/>
  <c r="C25" i="5"/>
  <c r="H24" i="5"/>
  <c r="F24" i="5"/>
  <c r="J22" i="5"/>
  <c r="K21" i="5" s="1"/>
  <c r="I23" i="5"/>
  <c r="I175" i="4"/>
  <c r="G175" i="4"/>
  <c r="P65" i="5" l="1"/>
  <c r="N54" i="5"/>
  <c r="M56" i="5"/>
  <c r="M57" i="5" s="1"/>
  <c r="N107" i="5"/>
  <c r="O106" i="5" s="1"/>
  <c r="O95" i="5"/>
  <c r="L66" i="5"/>
  <c r="O66" i="5" s="1"/>
  <c r="M107" i="5"/>
  <c r="L107" i="5"/>
  <c r="P66" i="5"/>
  <c r="L23" i="5"/>
  <c r="J23" i="5"/>
  <c r="M23" i="5"/>
  <c r="C68" i="5"/>
  <c r="J67" i="5"/>
  <c r="G67" i="5"/>
  <c r="G28" i="5"/>
  <c r="F68" i="5"/>
  <c r="K67" i="5"/>
  <c r="H67" i="5"/>
  <c r="C26" i="5"/>
  <c r="H25" i="5"/>
  <c r="F25" i="5"/>
  <c r="K22" i="5"/>
  <c r="I24" i="5"/>
  <c r="J24" i="5" s="1"/>
  <c r="G176" i="4"/>
  <c r="I176" i="4"/>
  <c r="F176" i="4"/>
  <c r="F175" i="4"/>
  <c r="K175" i="4" s="1"/>
  <c r="O107" i="5" l="1"/>
  <c r="I25" i="5"/>
  <c r="J25" i="5"/>
  <c r="K25" i="5" s="1"/>
  <c r="K176" i="4"/>
  <c r="N55" i="5"/>
  <c r="N56" i="5"/>
  <c r="M58" i="5"/>
  <c r="L24" i="5"/>
  <c r="L67" i="5"/>
  <c r="P67" i="5"/>
  <c r="O67" i="5"/>
  <c r="C27" i="5"/>
  <c r="H26" i="5"/>
  <c r="F26" i="5"/>
  <c r="C69" i="5"/>
  <c r="J68" i="5"/>
  <c r="G68" i="5"/>
  <c r="F69" i="5"/>
  <c r="K68" i="5"/>
  <c r="H68" i="5"/>
  <c r="G29" i="5"/>
  <c r="M24" i="5"/>
  <c r="M25" i="5"/>
  <c r="L25" i="5"/>
  <c r="K23" i="5"/>
  <c r="F199" i="4"/>
  <c r="G177" i="4"/>
  <c r="I177" i="4"/>
  <c r="F177" i="4"/>
  <c r="K24" i="5" l="1"/>
  <c r="N57" i="5"/>
  <c r="M59" i="5"/>
  <c r="M60" i="5" s="1"/>
  <c r="L68" i="5"/>
  <c r="P68" i="5" s="1"/>
  <c r="K177" i="4"/>
  <c r="O68" i="5"/>
  <c r="I26" i="5"/>
  <c r="C70" i="5"/>
  <c r="J69" i="5"/>
  <c r="G69" i="5"/>
  <c r="G30" i="5"/>
  <c r="F70" i="5"/>
  <c r="K69" i="5"/>
  <c r="H69" i="5"/>
  <c r="C28" i="5"/>
  <c r="H27" i="5"/>
  <c r="F27" i="5"/>
  <c r="G178" i="4"/>
  <c r="F178" i="4"/>
  <c r="I178" i="4"/>
  <c r="N58" i="5" l="1"/>
  <c r="N59" i="5"/>
  <c r="M61" i="5"/>
  <c r="L69" i="5"/>
  <c r="P69" i="5" s="1"/>
  <c r="L26" i="5"/>
  <c r="M26" i="5"/>
  <c r="J26" i="5"/>
  <c r="K26" i="5" s="1"/>
  <c r="C29" i="5"/>
  <c r="H28" i="5"/>
  <c r="F28" i="5"/>
  <c r="C71" i="5"/>
  <c r="J70" i="5"/>
  <c r="G70" i="5"/>
  <c r="F71" i="5"/>
  <c r="K70" i="5"/>
  <c r="H70" i="5"/>
  <c r="G31" i="5"/>
  <c r="K178" i="4"/>
  <c r="I27" i="5"/>
  <c r="G179" i="4"/>
  <c r="I179" i="4"/>
  <c r="F179" i="4"/>
  <c r="N60" i="5" l="1"/>
  <c r="M62" i="5"/>
  <c r="L70" i="5"/>
  <c r="O69" i="5"/>
  <c r="O70" i="5"/>
  <c r="P70" i="5"/>
  <c r="C30" i="5"/>
  <c r="H29" i="5"/>
  <c r="F29" i="5"/>
  <c r="I28" i="5"/>
  <c r="L28" i="5" s="1"/>
  <c r="J27" i="5"/>
  <c r="K27" i="5" s="1"/>
  <c r="L27" i="5"/>
  <c r="M27" i="5"/>
  <c r="C72" i="5"/>
  <c r="O71" i="5"/>
  <c r="J71" i="5"/>
  <c r="G71" i="5"/>
  <c r="G32" i="5"/>
  <c r="F72" i="5"/>
  <c r="P71" i="5"/>
  <c r="M71" i="5"/>
  <c r="K71" i="5"/>
  <c r="H71" i="5"/>
  <c r="M28" i="5"/>
  <c r="G180" i="4"/>
  <c r="I180" i="4"/>
  <c r="K179" i="4"/>
  <c r="F180" i="4"/>
  <c r="L71" i="5" l="1"/>
  <c r="N61" i="5"/>
  <c r="M63" i="5"/>
  <c r="M64" i="5" s="1"/>
  <c r="C73" i="5"/>
  <c r="O72" i="5"/>
  <c r="J72" i="5"/>
  <c r="G72" i="5"/>
  <c r="F73" i="5"/>
  <c r="P72" i="5"/>
  <c r="M72" i="5"/>
  <c r="K72" i="5"/>
  <c r="H72" i="5"/>
  <c r="G33" i="5"/>
  <c r="C31" i="5"/>
  <c r="H30" i="5"/>
  <c r="F30" i="5"/>
  <c r="K180" i="4"/>
  <c r="K191" i="4" s="1"/>
  <c r="J28" i="5"/>
  <c r="K28" i="5" s="1"/>
  <c r="I29" i="5"/>
  <c r="G181" i="4"/>
  <c r="I181" i="4"/>
  <c r="F181" i="4"/>
  <c r="N62" i="5" l="1"/>
  <c r="N63" i="5"/>
  <c r="M65" i="5"/>
  <c r="N64" i="5" s="1"/>
  <c r="L72" i="5"/>
  <c r="J29" i="5"/>
  <c r="K29" i="5" s="1"/>
  <c r="L29" i="5"/>
  <c r="M29" i="5"/>
  <c r="C32" i="5"/>
  <c r="L31" i="5"/>
  <c r="J31" i="5"/>
  <c r="K31" i="5" s="1"/>
  <c r="H31" i="5"/>
  <c r="F31" i="5"/>
  <c r="M31" i="5"/>
  <c r="I30" i="5"/>
  <c r="J30" i="5" s="1"/>
  <c r="K30" i="5" s="1"/>
  <c r="C74" i="5"/>
  <c r="O73" i="5"/>
  <c r="J73" i="5"/>
  <c r="G73" i="5"/>
  <c r="G34" i="5"/>
  <c r="F74" i="5"/>
  <c r="P73" i="5"/>
  <c r="M73" i="5"/>
  <c r="K73" i="5"/>
  <c r="H73" i="5"/>
  <c r="G182" i="4"/>
  <c r="I182" i="4"/>
  <c r="F182" i="4"/>
  <c r="I31" i="5" l="1"/>
  <c r="M66" i="5"/>
  <c r="M67" i="5" s="1"/>
  <c r="M68" i="5" s="1"/>
  <c r="M69" i="5" s="1"/>
  <c r="M70" i="5" s="1"/>
  <c r="N65" i="5"/>
  <c r="N81" i="5" s="1"/>
  <c r="L73" i="5"/>
  <c r="M32" i="5"/>
  <c r="C33" i="5"/>
  <c r="L32" i="5"/>
  <c r="J32" i="5"/>
  <c r="K32" i="5" s="1"/>
  <c r="H32" i="5"/>
  <c r="F32" i="5"/>
  <c r="C75" i="5"/>
  <c r="O74" i="5"/>
  <c r="J74" i="5"/>
  <c r="G74" i="5"/>
  <c r="F75" i="5"/>
  <c r="P74" i="5"/>
  <c r="M74" i="5"/>
  <c r="K74" i="5"/>
  <c r="H74" i="5"/>
  <c r="G35" i="5"/>
  <c r="L30" i="5"/>
  <c r="M30" i="5"/>
  <c r="G183" i="4"/>
  <c r="F183" i="4"/>
  <c r="I183" i="4"/>
  <c r="I32" i="5" l="1"/>
  <c r="L74" i="5"/>
  <c r="C76" i="5"/>
  <c r="O75" i="5"/>
  <c r="J75" i="5"/>
  <c r="G75" i="5"/>
  <c r="G36" i="5"/>
  <c r="F76" i="5"/>
  <c r="P75" i="5"/>
  <c r="M75" i="5"/>
  <c r="K75" i="5"/>
  <c r="H75" i="5"/>
  <c r="C34" i="5"/>
  <c r="L33" i="5"/>
  <c r="J33" i="5"/>
  <c r="K33" i="5" s="1"/>
  <c r="H33" i="5"/>
  <c r="F33" i="5"/>
  <c r="M33" i="5"/>
  <c r="G184" i="4"/>
  <c r="I184" i="4"/>
  <c r="F184" i="4"/>
  <c r="I33" i="5" l="1"/>
  <c r="L75" i="5"/>
  <c r="M34" i="5"/>
  <c r="C35" i="5"/>
  <c r="L34" i="5"/>
  <c r="J34" i="5"/>
  <c r="K34" i="5" s="1"/>
  <c r="H34" i="5"/>
  <c r="F34" i="5"/>
  <c r="C77" i="5"/>
  <c r="O76" i="5"/>
  <c r="J76" i="5"/>
  <c r="G76" i="5"/>
  <c r="F77" i="5"/>
  <c r="P76" i="5"/>
  <c r="M76" i="5"/>
  <c r="K76" i="5"/>
  <c r="H76" i="5"/>
  <c r="G37" i="5"/>
  <c r="G185" i="4"/>
  <c r="F185" i="4"/>
  <c r="I185" i="4"/>
  <c r="L76" i="5" l="1"/>
  <c r="I34" i="5"/>
  <c r="C78" i="5"/>
  <c r="O77" i="5"/>
  <c r="J77" i="5"/>
  <c r="G77" i="5"/>
  <c r="G38" i="5"/>
  <c r="F78" i="5"/>
  <c r="P77" i="5"/>
  <c r="M77" i="5"/>
  <c r="K77" i="5"/>
  <c r="H77" i="5"/>
  <c r="C36" i="5"/>
  <c r="L35" i="5"/>
  <c r="J35" i="5"/>
  <c r="K35" i="5" s="1"/>
  <c r="H35" i="5"/>
  <c r="F35" i="5"/>
  <c r="M35" i="5"/>
  <c r="G186" i="4"/>
  <c r="I186" i="4"/>
  <c r="F186" i="4"/>
  <c r="I35" i="5" l="1"/>
  <c r="L77" i="5"/>
  <c r="C79" i="5"/>
  <c r="O78" i="5"/>
  <c r="J78" i="5"/>
  <c r="G78" i="5"/>
  <c r="F79" i="5"/>
  <c r="P78" i="5"/>
  <c r="M78" i="5"/>
  <c r="K78" i="5"/>
  <c r="H78" i="5"/>
  <c r="G39" i="5"/>
  <c r="M36" i="5"/>
  <c r="C37" i="5"/>
  <c r="L36" i="5"/>
  <c r="J36" i="5"/>
  <c r="K36" i="5" s="1"/>
  <c r="H36" i="5"/>
  <c r="F36" i="5"/>
  <c r="G187" i="4"/>
  <c r="I187" i="4"/>
  <c r="L78" i="5" l="1"/>
  <c r="C38" i="5"/>
  <c r="L37" i="5"/>
  <c r="J37" i="5"/>
  <c r="K37" i="5" s="1"/>
  <c r="H37" i="5"/>
  <c r="F37" i="5"/>
  <c r="M37" i="5"/>
  <c r="C80" i="5"/>
  <c r="O79" i="5"/>
  <c r="J79" i="5"/>
  <c r="G79" i="5"/>
  <c r="G40" i="5"/>
  <c r="G41" i="5" s="1"/>
  <c r="F80" i="5"/>
  <c r="P79" i="5"/>
  <c r="M79" i="5"/>
  <c r="K79" i="5"/>
  <c r="H79" i="5"/>
  <c r="I36" i="5"/>
  <c r="F188" i="4"/>
  <c r="F187" i="4"/>
  <c r="G188" i="4"/>
  <c r="I188" i="4"/>
  <c r="L79" i="5" l="1"/>
  <c r="O80" i="5"/>
  <c r="O81" i="5" s="1"/>
  <c r="J80" i="5"/>
  <c r="J81" i="5" s="1"/>
  <c r="G80" i="5"/>
  <c r="G81" i="5" s="1"/>
  <c r="P80" i="5"/>
  <c r="P81" i="5" s="1"/>
  <c r="M80" i="5"/>
  <c r="K80" i="5"/>
  <c r="K81" i="5" s="1"/>
  <c r="H80" i="5"/>
  <c r="H81" i="5" s="1"/>
  <c r="M38" i="5"/>
  <c r="C39" i="5"/>
  <c r="L38" i="5"/>
  <c r="J38" i="5"/>
  <c r="K38" i="5" s="1"/>
  <c r="H38" i="5"/>
  <c r="F38" i="5"/>
  <c r="I37" i="5"/>
  <c r="F81" i="5"/>
  <c r="G189" i="4"/>
  <c r="I189" i="4"/>
  <c r="C40" i="5" l="1"/>
  <c r="L39" i="5"/>
  <c r="J39" i="5"/>
  <c r="K39" i="5" s="1"/>
  <c r="H39" i="5"/>
  <c r="F39" i="5"/>
  <c r="M39" i="5"/>
  <c r="L80" i="5"/>
  <c r="L81" i="5" s="1"/>
  <c r="I38" i="5"/>
  <c r="F202" i="4"/>
  <c r="F189" i="4"/>
  <c r="F198" i="4"/>
  <c r="M40" i="5" l="1"/>
  <c r="M41" i="5" s="1"/>
  <c r="F197" i="4" s="1"/>
  <c r="L40" i="5"/>
  <c r="L41" i="5" s="1"/>
  <c r="F196" i="4" s="1"/>
  <c r="J40" i="5"/>
  <c r="K40" i="5" s="1"/>
  <c r="K41" i="5" s="1"/>
  <c r="F201" i="4" s="1"/>
  <c r="H40" i="5"/>
  <c r="H41" i="5" s="1"/>
  <c r="F40" i="5"/>
  <c r="I39" i="5"/>
  <c r="I41" i="5" s="1"/>
  <c r="I190" i="4"/>
  <c r="I191" i="4" s="1"/>
  <c r="G190" i="4"/>
  <c r="G191" i="4" s="1"/>
  <c r="F190" i="4"/>
  <c r="F191" i="4" s="1"/>
  <c r="I40" i="5" l="1"/>
  <c r="F41" i="5"/>
</calcChain>
</file>

<file path=xl/sharedStrings.xml><?xml version="1.0" encoding="utf-8"?>
<sst xmlns="http://schemas.openxmlformats.org/spreadsheetml/2006/main" count="282" uniqueCount="211">
  <si>
    <t>NPV</t>
  </si>
  <si>
    <t>Energy Savings in municipal building</t>
  </si>
  <si>
    <t>Name of municipal building</t>
  </si>
  <si>
    <t>Annual increase in electricity tariffs</t>
  </si>
  <si>
    <t>Year</t>
  </si>
  <si>
    <t>Cash flow (€)</t>
  </si>
  <si>
    <t>Loan period (years)</t>
  </si>
  <si>
    <t>Grace period (years)</t>
  </si>
  <si>
    <t>Total</t>
  </si>
  <si>
    <t>TECHNICAL INFORMATION</t>
  </si>
  <si>
    <t>FINANCIAL INFORMATION</t>
  </si>
  <si>
    <t>COST INFORMATION</t>
  </si>
  <si>
    <t>Financing schemes</t>
  </si>
  <si>
    <t>BANK LOAN</t>
  </si>
  <si>
    <t>EQUITY</t>
  </si>
  <si>
    <t>Contribution</t>
  </si>
  <si>
    <t>TOTAL</t>
  </si>
  <si>
    <r>
      <t xml:space="preserve">Average energy savings </t>
    </r>
    <r>
      <rPr>
        <b/>
        <sz val="10"/>
        <rFont val="Calibri"/>
        <family val="2"/>
        <charset val="161"/>
      </rPr>
      <t xml:space="preserve">after </t>
    </r>
    <r>
      <rPr>
        <sz val="10"/>
        <rFont val="Calibri"/>
        <family val="2"/>
        <charset val="161"/>
      </rPr>
      <t>renovation</t>
    </r>
  </si>
  <si>
    <t>Amount (€)</t>
  </si>
  <si>
    <t>Annual Rate (%)</t>
  </si>
  <si>
    <t>CAPITAL SUBSIDY</t>
  </si>
  <si>
    <r>
      <t>WACC</t>
    </r>
    <r>
      <rPr>
        <sz val="10"/>
        <rFont val="Calibri"/>
        <family val="2"/>
        <charset val="161"/>
        <scheme val="minor"/>
      </rPr>
      <t xml:space="preserve"> = Discount rate ?</t>
    </r>
  </si>
  <si>
    <t>kWh/y</t>
  </si>
  <si>
    <t>lt</t>
  </si>
  <si>
    <t xml:space="preserve">Type of fossil fuel 1 </t>
  </si>
  <si>
    <t xml:space="preserve">Type of fossil fuel 2 </t>
  </si>
  <si>
    <t>Actual annual consumption for fossil fuel 2 [unit &amp; number]</t>
  </si>
  <si>
    <t>Actual annual consumption for fossil fuel 1 [unit &amp; number], (i.e. lt, 5000)</t>
  </si>
  <si>
    <t>Diesel</t>
  </si>
  <si>
    <t>Electricity cost (€ per kWh)</t>
  </si>
  <si>
    <t>Cost of fossil fuel type 1  (€ per unit)</t>
  </si>
  <si>
    <t>Cost of fossil fuel type 2  (€ per unit)</t>
  </si>
  <si>
    <t>Annual increase in fossil fuel type 1  prices</t>
  </si>
  <si>
    <t>Annual increase in fossil fuel type 2  prices</t>
  </si>
  <si>
    <t>Grace period interest (€)</t>
  </si>
  <si>
    <t>BANK LOAN characteristics</t>
  </si>
  <si>
    <t xml:space="preserve">Opportunity cost / Long term disposal rate </t>
  </si>
  <si>
    <t>Energy saving sharing percentages</t>
  </si>
  <si>
    <t>ESCO</t>
  </si>
  <si>
    <t>Contract period (years)</t>
  </si>
  <si>
    <t>ESCO payment (€)</t>
  </si>
  <si>
    <t>Contribution to the Project</t>
  </si>
  <si>
    <t>MUNICIPALITY</t>
  </si>
  <si>
    <t>Energy saving by Municipality</t>
  </si>
  <si>
    <t>MUNICIPALITY CASHFLOW</t>
  </si>
  <si>
    <t>Annual cash flow (€)</t>
  </si>
  <si>
    <t>Cumulative cashflow</t>
  </si>
  <si>
    <t xml:space="preserve">Loan repayment </t>
  </si>
  <si>
    <t>Annual "Receivables"</t>
  </si>
  <si>
    <t>ΙRR</t>
  </si>
  <si>
    <t>Energy saving sharing (to ESCO)</t>
  </si>
  <si>
    <t>Service / Maintenance</t>
  </si>
  <si>
    <t>years</t>
  </si>
  <si>
    <t>€ per year</t>
  </si>
  <si>
    <t>Average lifespan of the renovation measure in years</t>
  </si>
  <si>
    <t>Other relevant running cost</t>
  </si>
  <si>
    <t>Other capital investment cost</t>
  </si>
  <si>
    <t>expected project IRR</t>
  </si>
  <si>
    <r>
      <t xml:space="preserve">Extraordinary maintenance 
</t>
    </r>
    <r>
      <rPr>
        <sz val="8"/>
        <rFont val="Calibri"/>
        <family val="2"/>
        <charset val="161"/>
      </rPr>
      <t>(as entered in the "CERTUS_Renovation options matrix")</t>
    </r>
  </si>
  <si>
    <t>VAT and other taxes for equipment in €</t>
  </si>
  <si>
    <t>Investment cost including VAT and other taxes (€)</t>
  </si>
  <si>
    <t>Equipment cost in €</t>
  </si>
  <si>
    <t>Cumulative Project  Cashflow</t>
  </si>
  <si>
    <t>Other financial instrument repayment</t>
  </si>
  <si>
    <t>Indicators</t>
  </si>
  <si>
    <t xml:space="preserve">Sustainability and bankability </t>
  </si>
  <si>
    <t>Timing and connection with other interventions</t>
  </si>
  <si>
    <t>N° of years of construction</t>
  </si>
  <si>
    <t xml:space="preserve">N° of connection with other interventions </t>
  </si>
  <si>
    <t xml:space="preserve"> … </t>
  </si>
  <si>
    <t>WACC</t>
  </si>
  <si>
    <t>Technical and performance features</t>
  </si>
  <si>
    <t>Plant power</t>
  </si>
  <si>
    <t xml:space="preserve">Cost/MW installed </t>
  </si>
  <si>
    <t>Cost/MWh savings</t>
  </si>
  <si>
    <t xml:space="preserve">% Annual energy savings </t>
  </si>
  <si>
    <t xml:space="preserve">Social and environmental impact </t>
  </si>
  <si>
    <t xml:space="preserve">kWh  Annual energy savings  </t>
  </si>
  <si>
    <t>Employment creation</t>
  </si>
  <si>
    <t>Residual energy savings at the end of the project</t>
  </si>
  <si>
    <t>CO2 savings/year</t>
  </si>
  <si>
    <t>Useful life</t>
  </si>
  <si>
    <t>Reduced dependence on fossil fuel</t>
  </si>
  <si>
    <r>
      <rPr>
        <sz val="7"/>
        <rFont val="Calibri"/>
        <family val="2"/>
      </rPr>
      <t xml:space="preserve"> </t>
    </r>
    <r>
      <rPr>
        <sz val="10"/>
        <rFont val="Calibri"/>
        <family val="2"/>
      </rPr>
      <t>…</t>
    </r>
  </si>
  <si>
    <t>…</t>
  </si>
  <si>
    <t xml:space="preserve">Project IRR </t>
  </si>
  <si>
    <t xml:space="preserve">Project NPV </t>
  </si>
  <si>
    <t xml:space="preserve">Municipality IRR </t>
  </si>
  <si>
    <t xml:space="preserve">Municipality NPV </t>
  </si>
  <si>
    <t>Pay back period - Project</t>
  </si>
  <si>
    <t xml:space="preserve">Pay back period - Municipality </t>
  </si>
  <si>
    <t>OTHERS FINANCIAL INSTRUMENTS</t>
  </si>
  <si>
    <t xml:space="preserve">PROJECT CASH FLOW FROM ENERGY SAVINGS (Before Financial Costs) </t>
  </si>
  <si>
    <t xml:space="preserve"> PROJECT CASHFLOW </t>
  </si>
  <si>
    <r>
      <t xml:space="preserve">Extraordinary maintenance 
</t>
    </r>
    <r>
      <rPr>
        <sz val="8"/>
        <rFont val="Calibri"/>
        <family val="2"/>
        <charset val="161"/>
      </rPr>
      <t>(as indicated in the "CERTUS_Renovation options matrix")</t>
    </r>
  </si>
  <si>
    <t>Annual receivables €</t>
  </si>
  <si>
    <t>GRAPHS</t>
  </si>
  <si>
    <t>Frequency (indicate how often throughtout the lifespan of the project)</t>
  </si>
  <si>
    <t>Pay back Period (year)</t>
  </si>
  <si>
    <t>Desired minimum IRR for the ESCO</t>
  </si>
  <si>
    <t>Annual energy savings (€)</t>
  </si>
  <si>
    <r>
      <t xml:space="preserve">Actual annual electricity consumption </t>
    </r>
    <r>
      <rPr>
        <b/>
        <sz val="10"/>
        <rFont val="Calibri"/>
        <family val="2"/>
        <charset val="161"/>
      </rPr>
      <t>BEFORE</t>
    </r>
    <r>
      <rPr>
        <sz val="10"/>
        <rFont val="Calibri"/>
        <family val="2"/>
        <charset val="161"/>
      </rPr>
      <t xml:space="preserve"> renovation</t>
    </r>
  </si>
  <si>
    <r>
      <t xml:space="preserve">Actual annual electricity consumption </t>
    </r>
    <r>
      <rPr>
        <b/>
        <sz val="10"/>
        <rFont val="Calibri"/>
        <family val="2"/>
        <charset val="161"/>
      </rPr>
      <t>AFTER</t>
    </r>
    <r>
      <rPr>
        <sz val="10"/>
        <rFont val="Calibri"/>
        <family val="2"/>
        <charset val="161"/>
      </rPr>
      <t xml:space="preserve"> renovation</t>
    </r>
  </si>
  <si>
    <t>?</t>
  </si>
  <si>
    <r>
      <t xml:space="preserve">Maintenance cost </t>
    </r>
    <r>
      <rPr>
        <b/>
        <sz val="10"/>
        <rFont val="Calibri"/>
        <family val="2"/>
        <charset val="161"/>
      </rPr>
      <t xml:space="preserve">BEFORE </t>
    </r>
    <r>
      <rPr>
        <sz val="10"/>
        <rFont val="Calibri"/>
        <family val="2"/>
        <charset val="161"/>
      </rPr>
      <t>renovation</t>
    </r>
  </si>
  <si>
    <r>
      <t xml:space="preserve">Maintenance cost </t>
    </r>
    <r>
      <rPr>
        <b/>
        <sz val="10"/>
        <rFont val="Calibri"/>
        <family val="2"/>
        <charset val="161"/>
      </rPr>
      <t xml:space="preserve">AFTER </t>
    </r>
    <r>
      <rPr>
        <sz val="10"/>
        <rFont val="Calibri"/>
        <family val="2"/>
        <charset val="161"/>
      </rPr>
      <t>renovation</t>
    </r>
  </si>
  <si>
    <r>
      <t xml:space="preserve">Maintenance annual </t>
    </r>
    <r>
      <rPr>
        <b/>
        <sz val="10"/>
        <rFont val="Calibri"/>
        <family val="2"/>
        <charset val="161"/>
      </rPr>
      <t>SAVINGS</t>
    </r>
    <r>
      <rPr>
        <sz val="10"/>
        <rFont val="Calibri"/>
        <family val="2"/>
        <charset val="161"/>
      </rPr>
      <t xml:space="preserve"> (positive values) or </t>
    </r>
    <r>
      <rPr>
        <b/>
        <sz val="10"/>
        <rFont val="Calibri"/>
        <family val="2"/>
        <charset val="161"/>
      </rPr>
      <t>LOSSES</t>
    </r>
    <r>
      <rPr>
        <sz val="10"/>
        <rFont val="Calibri"/>
        <family val="2"/>
        <charset val="161"/>
      </rPr>
      <t xml:space="preserve"> (negative values) in accordance with the existing situation (€) </t>
    </r>
  </si>
  <si>
    <r>
      <rPr>
        <b/>
        <sz val="10"/>
        <rFont val="Calibri"/>
        <family val="2"/>
        <charset val="161"/>
      </rPr>
      <t>Extraordinary</t>
    </r>
    <r>
      <rPr>
        <sz val="10"/>
        <rFont val="Calibri"/>
        <family val="2"/>
        <charset val="161"/>
      </rPr>
      <t xml:space="preserve"> maintenance 
(as entered in the "CERTUS_Renovation options matrix")</t>
    </r>
  </si>
  <si>
    <t>Natural Gas</t>
  </si>
  <si>
    <t>m3</t>
  </si>
  <si>
    <r>
      <t xml:space="preserve">Actual annual consumption for fossil fuel 1 - </t>
    </r>
    <r>
      <rPr>
        <b/>
        <sz val="10"/>
        <rFont val="Calibri"/>
        <family val="2"/>
        <charset val="161"/>
      </rPr>
      <t xml:space="preserve">AFTER </t>
    </r>
    <r>
      <rPr>
        <sz val="10"/>
        <rFont val="Calibri"/>
        <family val="2"/>
        <charset val="161"/>
      </rPr>
      <t xml:space="preserve">renovation </t>
    </r>
  </si>
  <si>
    <r>
      <t xml:space="preserve">Actual annual consumption for fossil fuel 2 - </t>
    </r>
    <r>
      <rPr>
        <b/>
        <sz val="10"/>
        <rFont val="Calibri"/>
        <family val="2"/>
        <charset val="161"/>
      </rPr>
      <t>AFTER</t>
    </r>
    <r>
      <rPr>
        <sz val="10"/>
        <rFont val="Calibri"/>
        <family val="2"/>
        <charset val="161"/>
      </rPr>
      <t xml:space="preserve"> renovation </t>
    </r>
  </si>
  <si>
    <r>
      <t xml:space="preserve">Average expected </t>
    </r>
    <r>
      <rPr>
        <b/>
        <sz val="10"/>
        <rFont val="Calibri"/>
        <family val="2"/>
        <charset val="161"/>
      </rPr>
      <t>inflation</t>
    </r>
    <r>
      <rPr>
        <sz val="10"/>
        <rFont val="Calibri"/>
        <family val="2"/>
        <charset val="161"/>
      </rPr>
      <t xml:space="preserve"> rate</t>
    </r>
  </si>
  <si>
    <t>(€ per unit)</t>
  </si>
  <si>
    <r>
      <rPr>
        <sz val="11"/>
        <rFont val="Calibri"/>
        <family val="2"/>
        <charset val="161"/>
      </rPr>
      <t>INFORMATION</t>
    </r>
    <r>
      <rPr>
        <b/>
        <sz val="11"/>
        <rFont val="Calibri"/>
        <family val="2"/>
        <charset val="161"/>
      </rPr>
      <t xml:space="preserve"> </t>
    </r>
    <r>
      <rPr>
        <b/>
        <sz val="10"/>
        <rFont val="Calibri"/>
        <family val="2"/>
        <charset val="161"/>
      </rPr>
      <t>BEFORE</t>
    </r>
    <r>
      <rPr>
        <sz val="10"/>
        <rFont val="Calibri"/>
        <family val="2"/>
        <charset val="161"/>
      </rPr>
      <t xml:space="preserve"> RENOVATION</t>
    </r>
  </si>
  <si>
    <r>
      <rPr>
        <sz val="11"/>
        <rFont val="Calibri"/>
        <family val="2"/>
        <charset val="161"/>
      </rPr>
      <t>INFORMATION</t>
    </r>
    <r>
      <rPr>
        <b/>
        <sz val="11"/>
        <rFont val="Calibri"/>
        <family val="2"/>
        <charset val="161"/>
      </rPr>
      <t xml:space="preserve"> AFTER</t>
    </r>
    <r>
      <rPr>
        <sz val="10"/>
        <rFont val="Calibri"/>
        <family val="2"/>
        <charset val="161"/>
      </rPr>
      <t xml:space="preserve"> RENOVATION</t>
    </r>
  </si>
  <si>
    <t>RENOVATION COST</t>
  </si>
  <si>
    <t>Other costs in € (labor, -banking fees, etc)</t>
  </si>
  <si>
    <t>VAT and other taxes related to other costs  in €</t>
  </si>
  <si>
    <r>
      <rPr>
        <b/>
        <sz val="10"/>
        <rFont val="Calibri"/>
        <family val="2"/>
        <charset val="161"/>
      </rPr>
      <t>Investment cost</t>
    </r>
    <r>
      <rPr>
        <sz val="10"/>
        <rFont val="Calibri"/>
        <family val="2"/>
        <charset val="161"/>
      </rPr>
      <t xml:space="preserve"> including VAT and other taxes (€)</t>
    </r>
  </si>
  <si>
    <t>Annual savings €</t>
  </si>
  <si>
    <t>Pay back Period Project (year)</t>
  </si>
  <si>
    <r>
      <t xml:space="preserve">Numbers should </t>
    </r>
    <r>
      <rPr>
        <b/>
        <sz val="10"/>
        <rFont val="Calibri"/>
        <family val="2"/>
        <charset val="161"/>
      </rPr>
      <t>only</t>
    </r>
    <r>
      <rPr>
        <sz val="10"/>
        <rFont val="Calibri"/>
        <family val="2"/>
        <charset val="161"/>
      </rPr>
      <t xml:space="preserve"> be entered in these cells when an ESCO is involved in the financing scheme</t>
    </r>
  </si>
  <si>
    <t xml:space="preserve"> CERtuS Grant Agreement Number IEE/13/906/SI2.675068</t>
  </si>
  <si>
    <t>CERtuS</t>
  </si>
  <si>
    <t>About</t>
  </si>
  <si>
    <t>ACTION</t>
  </si>
  <si>
    <t>Help</t>
  </si>
  <si>
    <t>Example</t>
  </si>
  <si>
    <t># Enter values or text in blue cells #</t>
  </si>
  <si>
    <t>Renovation measure Code</t>
  </si>
  <si>
    <t>Renovation measure description</t>
  </si>
  <si>
    <t>Time schedule (start | end)</t>
  </si>
  <si>
    <t>Unit of measure</t>
  </si>
  <si>
    <t>Unit cost in €</t>
  </si>
  <si>
    <r>
      <t>Annual decrease of energy savings due to the aging of the equipment,</t>
    </r>
    <r>
      <rPr>
        <b/>
        <sz val="9"/>
        <rFont val="Calibri"/>
        <family val="2"/>
        <charset val="161"/>
      </rPr>
      <t xml:space="preserve"> for electricity</t>
    </r>
  </si>
  <si>
    <r>
      <t>Annual decrease of energy savings due to the aging of the equipment,</t>
    </r>
    <r>
      <rPr>
        <b/>
        <sz val="9"/>
        <rFont val="Calibri"/>
        <family val="2"/>
        <charset val="161"/>
      </rPr>
      <t xml:space="preserve"> for fossil fuel 1</t>
    </r>
  </si>
  <si>
    <r>
      <t>Annual decrease of energy savings due to the aging of the equipment,</t>
    </r>
    <r>
      <rPr>
        <b/>
        <sz val="9"/>
        <rFont val="Calibri"/>
        <family val="2"/>
        <charset val="161"/>
      </rPr>
      <t xml:space="preserve"> for fossil fuel 2</t>
    </r>
  </si>
  <si>
    <t>XXXXXX</t>
  </si>
  <si>
    <t>CERtuS SE²T</t>
  </si>
  <si>
    <t>A Simplified Economic Evaluation Tool</t>
  </si>
  <si>
    <t>Type of Document:</t>
  </si>
  <si>
    <t>Deliverable</t>
  </si>
  <si>
    <t>Document Reference #:</t>
  </si>
  <si>
    <t>Title:</t>
  </si>
  <si>
    <t>Version Number:</t>
  </si>
  <si>
    <t>Preparation Date:</t>
  </si>
  <si>
    <t>Delivery Date:</t>
  </si>
  <si>
    <t>Author(s):</t>
  </si>
  <si>
    <t>Contributors:</t>
  </si>
  <si>
    <t>Document Identifier:</t>
  </si>
  <si>
    <t>Document Status:</t>
  </si>
  <si>
    <t>Dissemination Level:</t>
  </si>
  <si>
    <t>x</t>
  </si>
  <si>
    <r>
      <t xml:space="preserve">PU </t>
    </r>
    <r>
      <rPr>
        <sz val="10"/>
        <rFont val="Calibri"/>
        <family val="2"/>
        <charset val="161"/>
      </rPr>
      <t xml:space="preserve"> Public</t>
    </r>
  </si>
  <si>
    <r>
      <t xml:space="preserve">PP </t>
    </r>
    <r>
      <rPr>
        <sz val="10"/>
        <rFont val="Calibri"/>
        <family val="2"/>
        <charset val="161"/>
      </rPr>
      <t xml:space="preserve"> Restricted to other program participants</t>
    </r>
  </si>
  <si>
    <r>
      <t xml:space="preserve">RE </t>
    </r>
    <r>
      <rPr>
        <sz val="10"/>
        <rFont val="Calibri"/>
        <family val="2"/>
        <charset val="161"/>
      </rPr>
      <t xml:space="preserve"> Restricted to a group specified by the Consortium</t>
    </r>
  </si>
  <si>
    <r>
      <t xml:space="preserve">CO </t>
    </r>
    <r>
      <rPr>
        <sz val="10"/>
        <rFont val="Calibri"/>
        <family val="2"/>
        <charset val="161"/>
      </rPr>
      <t>Confidential, only for member of the Consortium</t>
    </r>
  </si>
  <si>
    <t>Nature of Document:</t>
  </si>
  <si>
    <t>CERtuS SE²T: A Simplified Economic Evaluation Tool</t>
  </si>
  <si>
    <t>3.0</t>
  </si>
  <si>
    <t>Certus, On line simplified economic evaluation tool</t>
  </si>
  <si>
    <t>On line simplified economic evaluation tool</t>
  </si>
  <si>
    <t>Project Details</t>
  </si>
  <si>
    <t>Project Acronym:</t>
  </si>
  <si>
    <t>Project Title:</t>
  </si>
  <si>
    <t>Cost Efficient Options and Financing Mechanisms for nearly Zero Energy Renovation of existing Buildings Stock</t>
  </si>
  <si>
    <t>Project Number:</t>
  </si>
  <si>
    <t>IEE/13/906/SI2.675068</t>
  </si>
  <si>
    <t>Call Identifier:</t>
  </si>
  <si>
    <t>CIP-IEE-2013</t>
  </si>
  <si>
    <t>Project Coordinator:</t>
  </si>
  <si>
    <t>Stella Styliani FANOU, ENEA, Centro Ricerche Casaccia, via Anguillarese 301, 00123 S. Maria di Galeria (Roma), Italy_   styliani.fanou@enea.it</t>
  </si>
  <si>
    <t>ParticipatingPartners:</t>
  </si>
  <si>
    <t>01. ENEA – Agenzia nazionale per le nuove tecnologie, l'energia e lo sviluppo economico sostenibile – Italy</t>
  </si>
  <si>
    <t>02. COMUNE MESSINA - Comune di Messina – Italy</t>
  </si>
  <si>
    <t>03. ERRENTERIA – Errenteriakoudala – Spain</t>
  </si>
  <si>
    <t>04. CMC – camaramunicipal de coimbra – Portugal</t>
  </si>
  <si>
    <t>05. ALIMOS – DimosAlimou – Municipality of Alimos – Greece</t>
  </si>
  <si>
    <t>06. ISR – Instituto de sistemas e robotica – Associacao – Portugal</t>
  </si>
  <si>
    <t>07. ISPE – Intensa San Paolo Eurodesk S.P.R.L – Italy</t>
  </si>
  <si>
    <t>08. ETVA VI PE – ETVA VI.PE. S.A. – Greece</t>
  </si>
  <si>
    <t>09. TECNALIA – FundacionTecnaliaResearch&amp;Innovation – Spain</t>
  </si>
  <si>
    <t>10. EUDITI LTD – EuDiti – Energy and Environmental Design – Greece</t>
  </si>
  <si>
    <t>11. INNOVA BIC – INNOVA BIC - Business Innovation Centre SRL – Italy</t>
  </si>
  <si>
    <t>12. AAU SBi – Aalborg University – Denmark</t>
  </si>
  <si>
    <t xml:space="preserve">13. ASSISTAL – Associazione Nazionale Costruttori di impianti e dei servizi di efficienza energetica ESCo e Facility Management– Italy </t>
  </si>
  <si>
    <t>Funding Scheme:</t>
  </si>
  <si>
    <t>Collaborative Project</t>
  </si>
  <si>
    <t>Contract Start Date:</t>
  </si>
  <si>
    <t>March 1, 2014</t>
  </si>
  <si>
    <t>Duration:</t>
  </si>
  <si>
    <t>30 Months</t>
  </si>
  <si>
    <t>Project website address:</t>
  </si>
  <si>
    <t>www.certus-project.eu</t>
  </si>
  <si>
    <t>Navigation panel</t>
  </si>
  <si>
    <t>CERtuS in brief</t>
  </si>
  <si>
    <t>Cover page</t>
  </si>
  <si>
    <t>Contents (hyperlinks)</t>
  </si>
  <si>
    <t>Final version</t>
  </si>
  <si>
    <t>36 Months</t>
  </si>
  <si>
    <r>
      <rPr>
        <b/>
        <sz val="10"/>
        <color theme="4"/>
        <rFont val="Calibri"/>
        <family val="2"/>
        <charset val="161"/>
        <scheme val="minor"/>
      </rPr>
      <t xml:space="preserve">Authors: </t>
    </r>
    <r>
      <rPr>
        <sz val="10"/>
        <color theme="4"/>
        <rFont val="Calibri"/>
        <family val="2"/>
        <charset val="161"/>
        <scheme val="minor"/>
      </rPr>
      <t>Kostas Pavlou, George Vartholomaios (ETVA VIPE SA)</t>
    </r>
  </si>
  <si>
    <t>Kostas Pavlou (ETVA VIPE SA), George Vartholomaios (ETVA VIPE SA)</t>
  </si>
  <si>
    <t>Economic Evaluation Tool</t>
  </si>
  <si>
    <t>Statement of originality</t>
  </si>
  <si>
    <t xml:space="preserve"> </t>
  </si>
  <si>
    <t>Acknowledgements</t>
  </si>
  <si>
    <t>CERtuS partners</t>
  </si>
  <si>
    <t>Document Details</t>
  </si>
  <si>
    <t>Summary sheet</t>
  </si>
  <si>
    <t>Styliani Fanou (ENEA), Eva Athanasakou (EUDITI)</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</si>
</sst>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 #,##0;[Red]\-&quot;€&quot;\ #,##0"/>
    <numFmt numFmtId="164" formatCode="_-* #,##0.00\ _€_-;\-* #,##0.00\ _€_-;_-* &quot;-&quot;??\ _€_-;_-@_-"/>
    <numFmt numFmtId="165" formatCode="0.000"/>
    <numFmt numFmtId="166" formatCode="#,##0_ ;[Red]\-#,##0\ "/>
    <numFmt numFmtId="167" formatCode="0.0%"/>
    <numFmt numFmtId="168" formatCode="_-* #,##0\ _€_-;\-* #,##0\ _€_-;_-* &quot;-&quot;??\ _€_-;_-@_-"/>
    <numFmt numFmtId="169" formatCode="#,##0_ ;\-#,##0\ "/>
    <numFmt numFmtId="170" formatCode="dd\-mm\-yyyy"/>
    <numFmt numFmtId="171" formatCode="0.0"/>
    <numFmt numFmtId="172" formatCode="#,##0.0"/>
    <numFmt numFmtId="173" formatCode="#,##0.00\ &quot;€&quot;"/>
    <numFmt numFmtId="174" formatCode="#,##0.000\ &quot;€&quot;"/>
  </numFmts>
  <fonts count="49" x14ac:knownFonts="1">
    <font>
      <sz val="10"/>
      <name val="Arial"/>
      <charset val="161"/>
    </font>
    <font>
      <sz val="10"/>
      <name val="Arial"/>
      <family val="2"/>
    </font>
    <font>
      <sz val="10"/>
      <name val="Calibri"/>
      <family val="2"/>
      <charset val="161"/>
    </font>
    <font>
      <b/>
      <sz val="10"/>
      <name val="Calibri"/>
      <family val="2"/>
      <charset val="161"/>
    </font>
    <font>
      <sz val="10"/>
      <color indexed="55"/>
      <name val="Calibri"/>
      <family val="2"/>
      <charset val="161"/>
    </font>
    <font>
      <b/>
      <sz val="20"/>
      <color indexed="55"/>
      <name val="Calibri"/>
      <family val="2"/>
      <charset val="161"/>
    </font>
    <font>
      <sz val="10"/>
      <color indexed="23"/>
      <name val="Calibri"/>
      <family val="2"/>
      <charset val="161"/>
      <scheme val="minor"/>
    </font>
    <font>
      <b/>
      <sz val="10"/>
      <color indexed="23"/>
      <name val="Calibri"/>
      <family val="2"/>
      <charset val="161"/>
      <scheme val="minor"/>
    </font>
    <font>
      <sz val="10"/>
      <name val="Calibri"/>
      <family val="2"/>
      <charset val="161"/>
      <scheme val="minor"/>
    </font>
    <font>
      <b/>
      <sz val="11"/>
      <name val="Calibri"/>
      <family val="2"/>
      <charset val="161"/>
    </font>
    <font>
      <b/>
      <sz val="10"/>
      <name val="Calibri"/>
      <family val="2"/>
      <charset val="161"/>
      <scheme val="minor"/>
    </font>
    <font>
      <b/>
      <sz val="20"/>
      <color theme="1" tint="0.14999847407452621"/>
      <name val="Calibri"/>
      <family val="2"/>
      <charset val="161"/>
    </font>
    <font>
      <sz val="10"/>
      <color rgb="FFFF0000"/>
      <name val="Calibri"/>
      <family val="2"/>
      <charset val="161"/>
    </font>
    <font>
      <sz val="9"/>
      <name val="Calibri"/>
      <family val="2"/>
      <charset val="161"/>
    </font>
    <font>
      <sz val="10"/>
      <name val="Calibri"/>
      <family val="2"/>
      <scheme val="minor"/>
    </font>
    <font>
      <sz val="8"/>
      <name val="Calibri"/>
      <family val="2"/>
      <charset val="161"/>
    </font>
    <font>
      <sz val="9"/>
      <name val="Calibri"/>
      <family val="2"/>
      <charset val="161"/>
      <scheme val="minor"/>
    </font>
    <font>
      <b/>
      <sz val="9"/>
      <name val="Calibri"/>
      <family val="2"/>
      <charset val="161"/>
    </font>
    <font>
      <b/>
      <sz val="10"/>
      <name val="Calibri"/>
      <family val="2"/>
    </font>
    <font>
      <sz val="10"/>
      <color theme="1"/>
      <name val="Calibri"/>
      <family val="2"/>
      <charset val="161"/>
      <scheme val="minor"/>
    </font>
    <font>
      <b/>
      <sz val="10"/>
      <name val="Calibri"/>
      <family val="2"/>
      <scheme val="minor"/>
    </font>
    <font>
      <b/>
      <i/>
      <sz val="10"/>
      <name val="Calibri"/>
      <family val="2"/>
      <scheme val="minor"/>
    </font>
    <font>
      <sz val="7"/>
      <name val="Calibri"/>
      <family val="2"/>
    </font>
    <font>
      <sz val="10"/>
      <name val="Calibri"/>
      <family val="2"/>
    </font>
    <font>
      <b/>
      <sz val="14"/>
      <name val="Calibri"/>
      <family val="2"/>
    </font>
    <font>
      <sz val="10"/>
      <color theme="0" tint="-0.34998626667073579"/>
      <name val="Calibri"/>
      <family val="2"/>
      <charset val="161"/>
    </font>
    <font>
      <sz val="11"/>
      <name val="Calibri"/>
      <family val="2"/>
      <charset val="161"/>
    </font>
    <font>
      <sz val="10"/>
      <name val="Arial"/>
      <family val="2"/>
      <charset val="161"/>
    </font>
    <font>
      <b/>
      <sz val="16"/>
      <color rgb="FF365F91"/>
      <name val="Calibri"/>
      <family val="2"/>
      <charset val="161"/>
    </font>
    <font>
      <sz val="11"/>
      <color theme="0"/>
      <name val="Calibri"/>
      <family val="2"/>
      <charset val="161"/>
      <scheme val="minor"/>
    </font>
    <font>
      <sz val="11"/>
      <color theme="4"/>
      <name val="Calibri"/>
      <family val="2"/>
      <charset val="161"/>
      <scheme val="minor"/>
    </font>
    <font>
      <u/>
      <sz val="10"/>
      <color theme="10"/>
      <name val="Arial"/>
      <family val="2"/>
      <charset val="161"/>
    </font>
    <font>
      <u/>
      <sz val="11"/>
      <color theme="0"/>
      <name val="Calibri"/>
      <family val="2"/>
      <charset val="161"/>
      <scheme val="minor"/>
    </font>
    <font>
      <b/>
      <u/>
      <sz val="11"/>
      <color theme="0"/>
      <name val="Calibri"/>
      <family val="2"/>
      <charset val="161"/>
      <scheme val="minor"/>
    </font>
    <font>
      <b/>
      <sz val="14"/>
      <color rgb="FF538DD5"/>
      <name val="Calibri"/>
      <family val="2"/>
      <charset val="161"/>
    </font>
    <font>
      <b/>
      <i/>
      <sz val="24"/>
      <color theme="4"/>
      <name val="Calibri"/>
      <family val="2"/>
      <charset val="161"/>
    </font>
    <font>
      <b/>
      <sz val="9"/>
      <color rgb="FF365F91"/>
      <name val="Calibri"/>
      <family val="2"/>
      <charset val="161"/>
    </font>
    <font>
      <b/>
      <sz val="8"/>
      <color rgb="FF365F91"/>
      <name val="Calibri"/>
      <family val="2"/>
      <charset val="161"/>
    </font>
    <font>
      <b/>
      <sz val="12"/>
      <color rgb="FFFFFFFF"/>
      <name val="Calibri"/>
      <family val="2"/>
      <charset val="161"/>
    </font>
    <font>
      <i/>
      <sz val="10"/>
      <name val="Calibri"/>
      <family val="2"/>
      <charset val="161"/>
    </font>
    <font>
      <u/>
      <sz val="11"/>
      <color theme="10"/>
      <name val="Calibri"/>
      <family val="2"/>
      <charset val="161"/>
      <scheme val="minor"/>
    </font>
    <font>
      <u/>
      <sz val="12"/>
      <color theme="0"/>
      <name val="Calibri"/>
      <family val="2"/>
      <charset val="161"/>
      <scheme val="minor"/>
    </font>
    <font>
      <b/>
      <u/>
      <sz val="12"/>
      <color theme="0"/>
      <name val="Calibri"/>
      <family val="2"/>
      <charset val="161"/>
      <scheme val="minor"/>
    </font>
    <font>
      <sz val="10"/>
      <color rgb="FF000000"/>
      <name val="Helvetica"/>
      <family val="2"/>
    </font>
    <font>
      <b/>
      <u/>
      <sz val="16"/>
      <color rgb="FF365F91"/>
      <name val="Calibri"/>
      <family val="2"/>
      <charset val="161"/>
    </font>
    <font>
      <b/>
      <sz val="10"/>
      <color rgb="FF365F91"/>
      <name val="Calibri"/>
      <family val="2"/>
      <charset val="161"/>
    </font>
    <font>
      <sz val="10"/>
      <color theme="4"/>
      <name val="Calibri"/>
      <family val="2"/>
      <charset val="161"/>
      <scheme val="minor"/>
    </font>
    <font>
      <b/>
      <sz val="10"/>
      <color theme="4"/>
      <name val="Calibri"/>
      <family val="2"/>
      <charset val="161"/>
      <scheme val="minor"/>
    </font>
    <font>
      <b/>
      <sz val="12"/>
      <color theme="1" tint="0.249977111117893"/>
      <name val="Calibri"/>
      <family val="2"/>
      <charset val="161"/>
      <scheme val="minor"/>
    </font>
  </fonts>
  <fills count="12">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EDF3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365F91"/>
        <bgColor indexed="64"/>
      </patternFill>
    </fill>
    <fill>
      <patternFill patternType="solid">
        <fgColor rgb="FF99CCFF"/>
        <bgColor indexed="64"/>
      </patternFill>
    </fill>
    <fill>
      <patternFill patternType="solid">
        <fgColor rgb="FFFFFFFF"/>
        <bgColor indexed="64"/>
      </patternFill>
    </fill>
    <fill>
      <patternFill patternType="solid">
        <fgColor rgb="FF4A7EBB"/>
        <bgColor indexed="64"/>
      </patternFill>
    </fill>
    <fill>
      <patternFill patternType="solid">
        <fgColor theme="1"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int="0.249977111117893"/>
      </top>
      <bottom/>
      <diagonal/>
    </border>
    <border>
      <left style="medium">
        <color rgb="FF365F91"/>
      </left>
      <right/>
      <top style="medium">
        <color rgb="FF365F91"/>
      </top>
      <bottom style="medium">
        <color rgb="FF365F91"/>
      </bottom>
      <diagonal/>
    </border>
    <border>
      <left/>
      <right style="medium">
        <color rgb="FF365F91"/>
      </right>
      <top style="medium">
        <color rgb="FF365F91"/>
      </top>
      <bottom style="medium">
        <color rgb="FF365F91"/>
      </bottom>
      <diagonal/>
    </border>
    <border>
      <left style="medium">
        <color rgb="FF365F91"/>
      </left>
      <right style="medium">
        <color rgb="FF365F91"/>
      </right>
      <top/>
      <bottom style="medium">
        <color rgb="FF365F91"/>
      </bottom>
      <diagonal/>
    </border>
    <border>
      <left/>
      <right style="medium">
        <color rgb="FF365F91"/>
      </right>
      <top/>
      <bottom style="medium">
        <color rgb="FF365F91"/>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rgb="FF365F91"/>
      </left>
      <right style="medium">
        <color rgb="FF365F91"/>
      </right>
      <top/>
      <bottom/>
      <diagonal/>
    </border>
    <border>
      <left/>
      <right style="medium">
        <color rgb="FF365F91"/>
      </right>
      <top/>
      <bottom/>
      <diagonal/>
    </border>
    <border>
      <left style="medium">
        <color rgb="FF365F91"/>
      </left>
      <right style="medium">
        <color rgb="FF365F91"/>
      </right>
      <top style="medium">
        <color rgb="FF365F91"/>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31" fillId="0" borderId="0" applyNumberFormat="0" applyFill="0" applyBorder="0" applyAlignment="0" applyProtection="0"/>
  </cellStyleXfs>
  <cellXfs count="287">
    <xf numFmtId="0" fontId="0" fillId="0" borderId="0" xfId="0"/>
    <xf numFmtId="0" fontId="2" fillId="0" borderId="0" xfId="0" applyFont="1"/>
    <xf numFmtId="0" fontId="4" fillId="0" borderId="0" xfId="0" applyFont="1" applyAlignment="1">
      <alignment horizontal="center"/>
    </xf>
    <xf numFmtId="3" fontId="4" fillId="0" borderId="0" xfId="0" applyNumberFormat="1" applyFont="1" applyAlignment="1">
      <alignment horizontal="center"/>
    </xf>
    <xf numFmtId="0" fontId="2" fillId="0" borderId="0" xfId="0" applyFont="1" applyBorder="1"/>
    <xf numFmtId="3" fontId="2" fillId="0" borderId="0" xfId="0" applyNumberFormat="1" applyFont="1" applyBorder="1" applyAlignment="1">
      <alignment horizontal="center"/>
    </xf>
    <xf numFmtId="0" fontId="7" fillId="0" borderId="0" xfId="0" applyFont="1" applyFill="1" applyBorder="1" applyAlignment="1">
      <alignment horizontal="left"/>
    </xf>
    <xf numFmtId="10" fontId="7" fillId="0" borderId="0" xfId="0" applyNumberFormat="1" applyFont="1" applyFill="1" applyBorder="1" applyAlignment="1">
      <alignment horizontal="left"/>
    </xf>
    <xf numFmtId="0" fontId="2" fillId="0" borderId="0" xfId="0" applyFont="1" applyAlignment="1">
      <alignment vertical="center"/>
    </xf>
    <xf numFmtId="9" fontId="8" fillId="3" borderId="1" xfId="0" applyNumberFormat="1" applyFont="1" applyFill="1" applyBorder="1" applyAlignment="1">
      <alignment horizontal="center" vertical="center"/>
    </xf>
    <xf numFmtId="10" fontId="7" fillId="0" borderId="1" xfId="0" applyNumberFormat="1" applyFont="1" applyFill="1" applyBorder="1" applyAlignment="1">
      <alignment horizontal="right"/>
    </xf>
    <xf numFmtId="0" fontId="6" fillId="0" borderId="0" xfId="0" applyFont="1" applyFill="1" applyBorder="1" applyAlignment="1">
      <alignment horizontal="center"/>
    </xf>
    <xf numFmtId="0" fontId="2" fillId="0" borderId="0" xfId="0" applyFont="1" applyBorder="1" applyAlignment="1">
      <alignment horizontal="center"/>
    </xf>
    <xf numFmtId="0" fontId="2" fillId="0" borderId="5" xfId="0" applyFont="1" applyBorder="1"/>
    <xf numFmtId="0" fontId="5" fillId="0" borderId="8" xfId="0" applyFont="1" applyBorder="1" applyAlignment="1">
      <alignment vertical="center"/>
    </xf>
    <xf numFmtId="0" fontId="2" fillId="0" borderId="9" xfId="0" applyFont="1" applyBorder="1" applyAlignment="1">
      <alignment vertical="center"/>
    </xf>
    <xf numFmtId="0" fontId="2" fillId="0" borderId="8" xfId="0" applyFont="1" applyBorder="1"/>
    <xf numFmtId="0" fontId="2" fillId="0" borderId="9" xfId="0" applyFont="1" applyBorder="1"/>
    <xf numFmtId="0" fontId="2" fillId="0" borderId="9" xfId="0" applyFont="1" applyBorder="1" applyAlignment="1">
      <alignment horizontal="center"/>
    </xf>
    <xf numFmtId="0" fontId="2" fillId="0" borderId="9" xfId="0" applyFont="1" applyBorder="1" applyAlignment="1">
      <alignment horizontal="left"/>
    </xf>
    <xf numFmtId="0" fontId="2" fillId="0" borderId="8" xfId="0" applyFont="1" applyBorder="1" applyAlignment="1">
      <alignment horizontal="center"/>
    </xf>
    <xf numFmtId="166" fontId="2" fillId="0" borderId="0" xfId="0" applyNumberFormat="1" applyFont="1" applyBorder="1" applyAlignment="1">
      <alignment horizontal="center"/>
    </xf>
    <xf numFmtId="166" fontId="2" fillId="0" borderId="9" xfId="0" applyNumberFormat="1" applyFont="1" applyBorder="1" applyAlignment="1">
      <alignment horizontal="center"/>
    </xf>
    <xf numFmtId="165" fontId="2" fillId="0" borderId="0" xfId="0" applyNumberFormat="1" applyFont="1" applyBorder="1" applyAlignment="1">
      <alignment horizontal="center"/>
    </xf>
    <xf numFmtId="3" fontId="2" fillId="2" borderId="11" xfId="0" applyNumberFormat="1" applyFont="1" applyFill="1" applyBorder="1" applyAlignment="1">
      <alignment horizontal="center"/>
    </xf>
    <xf numFmtId="3" fontId="2" fillId="2" borderId="12" xfId="0" applyNumberFormat="1" applyFont="1" applyFill="1" applyBorder="1" applyAlignment="1">
      <alignment horizontal="center"/>
    </xf>
    <xf numFmtId="0" fontId="2" fillId="3" borderId="8" xfId="0" applyFont="1" applyFill="1" applyBorder="1"/>
    <xf numFmtId="0" fontId="6" fillId="3" borderId="0" xfId="0" applyFont="1" applyFill="1" applyBorder="1" applyAlignment="1">
      <alignment horizontal="center"/>
    </xf>
    <xf numFmtId="0" fontId="2" fillId="3" borderId="9" xfId="0" applyFont="1" applyFill="1" applyBorder="1"/>
    <xf numFmtId="0" fontId="3" fillId="0" borderId="8" xfId="0" applyFont="1" applyFill="1" applyBorder="1" applyAlignment="1">
      <alignment horizontal="left"/>
    </xf>
    <xf numFmtId="0" fontId="2" fillId="0" borderId="0" xfId="0" applyFont="1" applyFill="1" applyBorder="1"/>
    <xf numFmtId="0" fontId="2" fillId="0" borderId="9" xfId="0" applyFont="1" applyFill="1" applyBorder="1"/>
    <xf numFmtId="0" fontId="12" fillId="0" borderId="7" xfId="0" applyFont="1" applyBorder="1" applyAlignment="1">
      <alignment horizontal="left" vertical="center"/>
    </xf>
    <xf numFmtId="0" fontId="2" fillId="0" borderId="1" xfId="0" applyFont="1" applyBorder="1" applyAlignment="1"/>
    <xf numFmtId="0" fontId="2" fillId="0" borderId="0" xfId="0" applyFont="1" applyBorder="1" applyAlignment="1">
      <alignment horizontal="center"/>
    </xf>
    <xf numFmtId="0" fontId="2" fillId="0" borderId="13" xfId="0" applyFont="1" applyBorder="1" applyAlignment="1"/>
    <xf numFmtId="0" fontId="2" fillId="0" borderId="14" xfId="0" applyFont="1" applyBorder="1" applyAlignment="1"/>
    <xf numFmtId="0" fontId="2" fillId="0" borderId="17" xfId="0" applyFont="1" applyBorder="1" applyAlignment="1"/>
    <xf numFmtId="0" fontId="2" fillId="0" borderId="18" xfId="0" applyFont="1" applyBorder="1" applyAlignment="1"/>
    <xf numFmtId="0" fontId="2" fillId="0" borderId="15" xfId="0" applyFont="1" applyBorder="1" applyAlignment="1"/>
    <xf numFmtId="0" fontId="2" fillId="0" borderId="16" xfId="0" applyFont="1" applyBorder="1" applyAlignment="1"/>
    <xf numFmtId="10" fontId="2" fillId="0" borderId="0" xfId="0" applyNumberFormat="1" applyFont="1" applyBorder="1" applyAlignment="1">
      <alignment horizontal="center"/>
    </xf>
    <xf numFmtId="10" fontId="2" fillId="0" borderId="0" xfId="0" applyNumberFormat="1" applyFont="1" applyBorder="1" applyAlignment="1" applyProtection="1">
      <alignment horizontal="centerContinuous"/>
    </xf>
    <xf numFmtId="3" fontId="2" fillId="0" borderId="0" xfId="0" applyNumberFormat="1" applyFont="1"/>
    <xf numFmtId="0" fontId="2" fillId="0" borderId="0" xfId="0" applyFont="1" applyBorder="1" applyAlignment="1">
      <alignment horizontal="center"/>
    </xf>
    <xf numFmtId="0" fontId="3" fillId="0" borderId="5" xfId="0" applyFont="1" applyFill="1" applyBorder="1" applyAlignment="1">
      <alignment horizontal="left"/>
    </xf>
    <xf numFmtId="0" fontId="2" fillId="0" borderId="6" xfId="0" applyFont="1" applyFill="1" applyBorder="1"/>
    <xf numFmtId="0" fontId="2" fillId="0" borderId="7" xfId="0" applyFont="1" applyFill="1" applyBorder="1"/>
    <xf numFmtId="3" fontId="2" fillId="0" borderId="0" xfId="0" applyNumberFormat="1" applyFont="1" applyBorder="1"/>
    <xf numFmtId="0" fontId="13" fillId="0" borderId="6" xfId="0" applyFont="1" applyFill="1" applyBorder="1" applyAlignment="1">
      <alignment horizontal="right"/>
    </xf>
    <xf numFmtId="0" fontId="13" fillId="0" borderId="6" xfId="0" applyFont="1" applyFill="1" applyBorder="1"/>
    <xf numFmtId="9" fontId="13" fillId="0" borderId="6" xfId="1" applyFont="1" applyFill="1" applyBorder="1" applyAlignment="1">
      <alignment horizontal="center"/>
    </xf>
    <xf numFmtId="0" fontId="14" fillId="0" borderId="0" xfId="0" applyFont="1" applyFill="1" applyBorder="1" applyAlignment="1">
      <alignment horizontal="left"/>
    </xf>
    <xf numFmtId="0" fontId="2" fillId="0" borderId="19" xfId="0" applyFont="1" applyBorder="1" applyAlignment="1"/>
    <xf numFmtId="0" fontId="2" fillId="0" borderId="0" xfId="0" applyFont="1" applyBorder="1" applyAlignment="1"/>
    <xf numFmtId="0" fontId="2" fillId="0" borderId="20" xfId="0" applyFont="1" applyBorder="1" applyAlignment="1"/>
    <xf numFmtId="0" fontId="3" fillId="6" borderId="8" xfId="0" applyFont="1" applyFill="1" applyBorder="1" applyAlignment="1">
      <alignment horizontal="center" vertical="center" wrapText="1"/>
    </xf>
    <xf numFmtId="0" fontId="3" fillId="6" borderId="0" xfId="0" applyFont="1" applyFill="1" applyBorder="1" applyAlignment="1">
      <alignment horizontal="center" vertical="center" wrapText="1"/>
    </xf>
    <xf numFmtId="9" fontId="3" fillId="6" borderId="0"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center" wrapText="1"/>
    </xf>
    <xf numFmtId="0" fontId="3" fillId="6" borderId="9" xfId="0" applyFont="1" applyFill="1" applyBorder="1" applyAlignment="1">
      <alignment horizontal="center" vertical="center" wrapText="1"/>
    </xf>
    <xf numFmtId="169" fontId="2" fillId="0" borderId="0" xfId="0" applyNumberFormat="1" applyFont="1"/>
    <xf numFmtId="0" fontId="3" fillId="0" borderId="0" xfId="0" applyFont="1"/>
    <xf numFmtId="0" fontId="2" fillId="0" borderId="17" xfId="0" applyFont="1" applyBorder="1" applyAlignment="1">
      <alignment vertical="center"/>
    </xf>
    <xf numFmtId="0" fontId="12" fillId="0" borderId="6" xfId="0" applyFont="1" applyBorder="1" applyAlignment="1">
      <alignment horizontal="left" vertical="center"/>
    </xf>
    <xf numFmtId="0" fontId="2" fillId="0" borderId="0" xfId="0" applyFont="1" applyBorder="1" applyAlignment="1">
      <alignment vertical="center"/>
    </xf>
    <xf numFmtId="0" fontId="19" fillId="3" borderId="0" xfId="0" applyFont="1" applyFill="1" applyBorder="1" applyAlignment="1">
      <alignment horizontal="center"/>
    </xf>
    <xf numFmtId="0" fontId="18" fillId="0" borderId="8" xfId="0" applyFont="1" applyFill="1" applyBorder="1"/>
    <xf numFmtId="3" fontId="3" fillId="0" borderId="0" xfId="0" applyNumberFormat="1" applyFont="1" applyFill="1" applyBorder="1" applyAlignment="1">
      <alignment horizontal="center" vertical="center" wrapText="1"/>
    </xf>
    <xf numFmtId="0" fontId="2" fillId="0" borderId="2" xfId="0" applyFont="1" applyBorder="1" applyAlignment="1"/>
    <xf numFmtId="0" fontId="2" fillId="0" borderId="4" xfId="0" applyFont="1" applyBorder="1" applyAlignment="1"/>
    <xf numFmtId="0" fontId="2" fillId="2" borderId="0" xfId="0" applyFont="1" applyFill="1"/>
    <xf numFmtId="0" fontId="14" fillId="0" borderId="0" xfId="0" applyFont="1" applyBorder="1"/>
    <xf numFmtId="0" fontId="14" fillId="0" borderId="18" xfId="0" applyFont="1" applyBorder="1"/>
    <xf numFmtId="0" fontId="21" fillId="0" borderId="0" xfId="0" applyFont="1" applyBorder="1"/>
    <xf numFmtId="9" fontId="16" fillId="3" borderId="3" xfId="0" applyNumberFormat="1" applyFont="1" applyFill="1" applyBorder="1" applyAlignment="1">
      <alignment horizontal="center" vertical="center"/>
    </xf>
    <xf numFmtId="0" fontId="2" fillId="0" borderId="20" xfId="0" applyFont="1" applyBorder="1"/>
    <xf numFmtId="0" fontId="2" fillId="0" borderId="17" xfId="0" applyFont="1" applyBorder="1"/>
    <xf numFmtId="0" fontId="2" fillId="0" borderId="22" xfId="0" applyFont="1" applyBorder="1" applyAlignment="1">
      <alignment horizontal="center" vertical="center" wrapText="1"/>
    </xf>
    <xf numFmtId="0" fontId="18" fillId="0" borderId="1" xfId="0" applyFont="1" applyBorder="1" applyAlignment="1">
      <alignment horizontal="center" vertical="center"/>
    </xf>
    <xf numFmtId="0" fontId="14" fillId="0" borderId="0" xfId="0" applyFont="1" applyFill="1" applyBorder="1"/>
    <xf numFmtId="0" fontId="20" fillId="6" borderId="4" xfId="0" applyFont="1" applyFill="1" applyBorder="1"/>
    <xf numFmtId="0" fontId="14" fillId="6" borderId="3" xfId="0" applyFont="1" applyFill="1" applyBorder="1"/>
    <xf numFmtId="0" fontId="14" fillId="0" borderId="20" xfId="0" applyFont="1" applyBorder="1"/>
    <xf numFmtId="0" fontId="14" fillId="0" borderId="0" xfId="0" applyFont="1" applyBorder="1" applyAlignment="1">
      <alignment horizontal="left"/>
    </xf>
    <xf numFmtId="0" fontId="14" fillId="0" borderId="20" xfId="0" applyFont="1" applyBorder="1" applyAlignment="1">
      <alignment horizontal="left" vertical="center"/>
    </xf>
    <xf numFmtId="3" fontId="4" fillId="0" borderId="0" xfId="0" applyNumberFormat="1" applyFont="1" applyBorder="1" applyAlignment="1">
      <alignment horizontal="center"/>
    </xf>
    <xf numFmtId="0" fontId="2" fillId="6" borderId="0" xfId="0" applyFont="1" applyFill="1" applyBorder="1" applyAlignment="1">
      <alignment horizontal="center"/>
    </xf>
    <xf numFmtId="0" fontId="18" fillId="6" borderId="8" xfId="0" applyFont="1" applyFill="1" applyBorder="1" applyAlignment="1">
      <alignment horizontal="center"/>
    </xf>
    <xf numFmtId="3" fontId="18" fillId="6" borderId="0" xfId="0" applyNumberFormat="1" applyFont="1" applyFill="1" applyBorder="1" applyAlignment="1">
      <alignment horizontal="center"/>
    </xf>
    <xf numFmtId="0" fontId="18" fillId="6" borderId="0" xfId="0" applyFont="1" applyFill="1" applyBorder="1" applyAlignment="1">
      <alignment horizontal="center"/>
    </xf>
    <xf numFmtId="166" fontId="18" fillId="6" borderId="9" xfId="0" applyNumberFormat="1" applyFont="1" applyFill="1" applyBorder="1" applyAlignment="1">
      <alignment horizontal="center"/>
    </xf>
    <xf numFmtId="10" fontId="20" fillId="6" borderId="0" xfId="0" applyNumberFormat="1" applyFont="1" applyFill="1" applyBorder="1" applyAlignment="1">
      <alignment horizontal="center"/>
    </xf>
    <xf numFmtId="10" fontId="25" fillId="0" borderId="0" xfId="0" applyNumberFormat="1" applyFont="1" applyBorder="1" applyAlignment="1">
      <alignment horizontal="center"/>
    </xf>
    <xf numFmtId="10" fontId="25" fillId="0" borderId="0" xfId="0" applyNumberFormat="1" applyFont="1" applyBorder="1" applyAlignment="1" applyProtection="1">
      <alignment horizontal="centerContinuous"/>
    </xf>
    <xf numFmtId="166" fontId="25" fillId="0" borderId="9" xfId="0" applyNumberFormat="1" applyFont="1" applyFill="1" applyBorder="1" applyAlignment="1">
      <alignment horizontal="center"/>
    </xf>
    <xf numFmtId="0" fontId="2" fillId="0" borderId="10" xfId="0" applyFont="1" applyBorder="1"/>
    <xf numFmtId="0" fontId="2" fillId="0" borderId="11" xfId="0" applyFont="1" applyBorder="1"/>
    <xf numFmtId="0" fontId="2" fillId="0" borderId="12" xfId="0" applyFont="1" applyBorder="1"/>
    <xf numFmtId="171" fontId="14" fillId="3" borderId="1" xfId="0" applyNumberFormat="1" applyFont="1" applyFill="1" applyBorder="1"/>
    <xf numFmtId="164" fontId="2" fillId="0" borderId="0" xfId="2" applyFont="1"/>
    <xf numFmtId="9" fontId="2" fillId="0" borderId="0" xfId="1" applyFont="1"/>
    <xf numFmtId="3" fontId="18" fillId="2" borderId="11" xfId="0" applyNumberFormat="1" applyFont="1" applyFill="1" applyBorder="1" applyAlignment="1">
      <alignment horizontal="center"/>
    </xf>
    <xf numFmtId="10" fontId="18" fillId="2" borderId="11" xfId="1" applyNumberFormat="1" applyFont="1" applyFill="1" applyBorder="1" applyAlignment="1">
      <alignment horizontal="center"/>
    </xf>
    <xf numFmtId="171" fontId="19" fillId="3" borderId="0" xfId="0" applyNumberFormat="1" applyFont="1" applyFill="1" applyBorder="1" applyAlignment="1">
      <alignment horizontal="center"/>
    </xf>
    <xf numFmtId="172" fontId="18" fillId="2" borderId="11" xfId="0" applyNumberFormat="1" applyFont="1" applyFill="1" applyBorder="1" applyAlignment="1">
      <alignment horizontal="center"/>
    </xf>
    <xf numFmtId="167" fontId="2" fillId="0" borderId="6" xfId="1" applyNumberFormat="1" applyFont="1" applyFill="1" applyBorder="1" applyAlignment="1">
      <alignment horizontal="left"/>
    </xf>
    <xf numFmtId="0" fontId="3" fillId="3" borderId="8" xfId="0" applyFont="1" applyFill="1" applyBorder="1" applyAlignment="1">
      <alignment horizontal="left"/>
    </xf>
    <xf numFmtId="0" fontId="2" fillId="3" borderId="0" xfId="0" applyFont="1" applyFill="1" applyBorder="1"/>
    <xf numFmtId="0" fontId="2" fillId="3" borderId="8" xfId="0" applyFont="1" applyFill="1" applyBorder="1" applyAlignment="1">
      <alignment horizontal="center"/>
    </xf>
    <xf numFmtId="166" fontId="2" fillId="3" borderId="0" xfId="0" applyNumberFormat="1" applyFont="1" applyFill="1" applyBorder="1" applyAlignment="1">
      <alignment horizontal="center"/>
    </xf>
    <xf numFmtId="0" fontId="2" fillId="3" borderId="0" xfId="0" applyFont="1" applyFill="1" applyBorder="1" applyAlignment="1">
      <alignment horizontal="center"/>
    </xf>
    <xf numFmtId="0" fontId="2" fillId="3" borderId="0" xfId="0" applyFont="1" applyFill="1"/>
    <xf numFmtId="10" fontId="25" fillId="3" borderId="0" xfId="0" applyNumberFormat="1" applyFont="1" applyFill="1" applyBorder="1" applyAlignment="1">
      <alignment horizontal="center"/>
    </xf>
    <xf numFmtId="166" fontId="25" fillId="3" borderId="9" xfId="0" applyNumberFormat="1" applyFont="1" applyFill="1" applyBorder="1" applyAlignment="1">
      <alignment horizontal="center"/>
    </xf>
    <xf numFmtId="3" fontId="2" fillId="3" borderId="0" xfId="0" applyNumberFormat="1" applyFont="1" applyFill="1" applyBorder="1" applyAlignment="1">
      <alignment horizontal="center"/>
    </xf>
    <xf numFmtId="10" fontId="25" fillId="3" borderId="0" xfId="0" applyNumberFormat="1" applyFont="1" applyFill="1" applyBorder="1" applyAlignment="1" applyProtection="1">
      <alignment horizontal="centerContinuous"/>
    </xf>
    <xf numFmtId="0" fontId="10" fillId="0" borderId="2" xfId="0" applyFont="1" applyFill="1" applyBorder="1" applyAlignment="1">
      <alignment horizontal="left"/>
    </xf>
    <xf numFmtId="0" fontId="10" fillId="0" borderId="4" xfId="0" applyFont="1" applyFill="1" applyBorder="1" applyAlignment="1">
      <alignment horizontal="left"/>
    </xf>
    <xf numFmtId="0" fontId="10" fillId="0" borderId="3" xfId="0" applyFont="1" applyFill="1" applyBorder="1" applyAlignment="1">
      <alignment horizontal="left"/>
    </xf>
    <xf numFmtId="173" fontId="2" fillId="0" borderId="0" xfId="0" applyNumberFormat="1" applyFont="1" applyBorder="1"/>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14" xfId="0" applyFont="1" applyBorder="1" applyAlignment="1">
      <alignment horizontal="left" vertical="top" wrapText="1"/>
    </xf>
    <xf numFmtId="0" fontId="2" fillId="0" borderId="16" xfId="0" applyFont="1" applyBorder="1" applyAlignment="1">
      <alignment horizontal="left" vertical="top" wrapText="1"/>
    </xf>
    <xf numFmtId="0" fontId="14" fillId="0" borderId="0" xfId="0" applyFont="1" applyBorder="1" applyAlignment="1">
      <alignment horizontal="left" vertical="center"/>
    </xf>
    <xf numFmtId="0" fontId="2" fillId="0" borderId="0" xfId="0" applyFont="1" applyBorder="1" applyAlignment="1">
      <alignment horizontal="center"/>
    </xf>
    <xf numFmtId="0" fontId="2" fillId="0" borderId="0" xfId="0" applyFont="1" applyBorder="1" applyAlignment="1">
      <alignment horizontal="left"/>
    </xf>
    <xf numFmtId="0" fontId="2" fillId="0" borderId="20" xfId="0" applyFont="1" applyBorder="1" applyAlignment="1">
      <alignment horizontal="left"/>
    </xf>
    <xf numFmtId="0" fontId="2" fillId="0" borderId="1" xfId="0" applyFont="1" applyBorder="1" applyAlignment="1">
      <alignment horizontal="left" vertical="center" wrapText="1"/>
    </xf>
    <xf numFmtId="0" fontId="20" fillId="6" borderId="2" xfId="0" applyFont="1" applyFill="1" applyBorder="1"/>
    <xf numFmtId="0" fontId="14" fillId="0" borderId="17" xfId="0" applyFont="1" applyBorder="1"/>
    <xf numFmtId="0" fontId="21" fillId="0" borderId="17" xfId="0" applyFont="1" applyBorder="1"/>
    <xf numFmtId="0" fontId="2" fillId="0" borderId="15" xfId="0" applyFont="1" applyBorder="1"/>
    <xf numFmtId="0" fontId="14" fillId="0" borderId="3" xfId="0" applyFont="1" applyFill="1" applyBorder="1"/>
    <xf numFmtId="0" fontId="2" fillId="0" borderId="8" xfId="0" applyFont="1" applyBorder="1" applyAlignment="1">
      <alignment vertical="center"/>
    </xf>
    <xf numFmtId="3" fontId="2" fillId="3" borderId="0" xfId="0" applyNumberFormat="1" applyFont="1" applyFill="1" applyBorder="1"/>
    <xf numFmtId="170" fontId="8" fillId="2" borderId="1" xfId="2" applyNumberFormat="1" applyFont="1" applyFill="1" applyBorder="1" applyAlignment="1" applyProtection="1">
      <alignment horizontal="center" vertical="center"/>
      <protection locked="0"/>
    </xf>
    <xf numFmtId="169" fontId="8" fillId="2" borderId="1" xfId="2" applyNumberFormat="1" applyFont="1" applyFill="1" applyBorder="1" applyAlignment="1" applyProtection="1">
      <alignment horizontal="right" vertical="center"/>
      <protection locked="0"/>
    </xf>
    <xf numFmtId="0" fontId="2" fillId="0" borderId="1" xfId="0" applyFont="1" applyBorder="1" applyAlignment="1" applyProtection="1">
      <alignment horizontal="right"/>
      <protection locked="0"/>
    </xf>
    <xf numFmtId="0" fontId="8" fillId="4" borderId="2" xfId="0" applyFont="1" applyFill="1" applyBorder="1" applyAlignment="1" applyProtection="1">
      <alignment vertical="center"/>
      <protection locked="0"/>
    </xf>
    <xf numFmtId="0" fontId="2" fillId="0" borderId="0" xfId="0" applyFont="1" applyBorder="1" applyProtection="1">
      <protection locked="0"/>
    </xf>
    <xf numFmtId="0" fontId="8" fillId="4" borderId="1" xfId="0" applyFont="1" applyFill="1" applyBorder="1" applyAlignment="1" applyProtection="1">
      <alignment horizontal="right" vertical="center"/>
      <protection locked="0"/>
    </xf>
    <xf numFmtId="173" fontId="8" fillId="2" borderId="1" xfId="0" applyNumberFormat="1" applyFont="1" applyFill="1" applyBorder="1" applyAlignment="1" applyProtection="1">
      <alignment horizontal="right" vertical="center"/>
      <protection locked="0"/>
    </xf>
    <xf numFmtId="4" fontId="8" fillId="2" borderId="1" xfId="0" applyNumberFormat="1" applyFont="1" applyFill="1" applyBorder="1" applyAlignment="1" applyProtection="1">
      <alignment horizontal="right" vertical="center"/>
      <protection locked="0"/>
    </xf>
    <xf numFmtId="3" fontId="8" fillId="2" borderId="1" xfId="0" applyNumberFormat="1" applyFont="1" applyFill="1" applyBorder="1" applyAlignment="1" applyProtection="1">
      <alignment horizontal="right" vertical="center"/>
      <protection locked="0"/>
    </xf>
    <xf numFmtId="3" fontId="8" fillId="4" borderId="1" xfId="0" applyNumberFormat="1" applyFont="1" applyFill="1" applyBorder="1" applyAlignment="1" applyProtection="1">
      <alignment horizontal="right" vertical="center"/>
      <protection locked="0"/>
    </xf>
    <xf numFmtId="167" fontId="2" fillId="2" borderId="2" xfId="1" applyNumberFormat="1" applyFont="1" applyFill="1" applyBorder="1" applyAlignment="1" applyProtection="1">
      <protection locked="0"/>
    </xf>
    <xf numFmtId="174" fontId="8" fillId="2" borderId="1" xfId="0" applyNumberFormat="1" applyFont="1" applyFill="1" applyBorder="1" applyAlignment="1" applyProtection="1">
      <alignment horizontal="right" vertical="center"/>
      <protection locked="0"/>
    </xf>
    <xf numFmtId="9" fontId="8" fillId="4" borderId="1" xfId="0" applyNumberFormat="1" applyFont="1" applyFill="1" applyBorder="1" applyAlignment="1" applyProtection="1">
      <alignment horizontal="right" vertical="center"/>
      <protection locked="0"/>
    </xf>
    <xf numFmtId="9" fontId="8" fillId="2" borderId="1" xfId="0" applyNumberFormat="1" applyFont="1" applyFill="1" applyBorder="1" applyAlignment="1" applyProtection="1">
      <alignment horizontal="right" vertical="center"/>
      <protection locked="0"/>
    </xf>
    <xf numFmtId="10" fontId="8" fillId="2" borderId="1" xfId="0" applyNumberFormat="1" applyFont="1" applyFill="1" applyBorder="1" applyAlignment="1" applyProtection="1">
      <alignment vertical="center"/>
      <protection locked="0"/>
    </xf>
    <xf numFmtId="9" fontId="8" fillId="2" borderId="23" xfId="0" applyNumberFormat="1" applyFont="1" applyFill="1" applyBorder="1" applyAlignment="1" applyProtection="1">
      <alignment vertical="center"/>
      <protection locked="0"/>
    </xf>
    <xf numFmtId="9" fontId="8" fillId="2" borderId="3" xfId="0" applyNumberFormat="1" applyFont="1" applyFill="1" applyBorder="1" applyAlignment="1" applyProtection="1">
      <alignment vertical="center"/>
      <protection locked="0"/>
    </xf>
    <xf numFmtId="9" fontId="8" fillId="2" borderId="1" xfId="0" applyNumberFormat="1" applyFont="1" applyFill="1" applyBorder="1" applyAlignment="1" applyProtection="1">
      <alignment vertical="center"/>
      <protection locked="0"/>
    </xf>
    <xf numFmtId="9" fontId="2" fillId="0" borderId="1" xfId="0" applyNumberFormat="1" applyFont="1" applyBorder="1" applyProtection="1">
      <protection locked="0"/>
    </xf>
    <xf numFmtId="3" fontId="2" fillId="0" borderId="1" xfId="0" applyNumberFormat="1" applyFont="1" applyBorder="1" applyProtection="1">
      <protection locked="0"/>
    </xf>
    <xf numFmtId="168" fontId="2" fillId="0" borderId="1" xfId="2" applyNumberFormat="1" applyFont="1" applyBorder="1" applyProtection="1">
      <protection locked="0"/>
    </xf>
    <xf numFmtId="10" fontId="2" fillId="2" borderId="1" xfId="1" applyNumberFormat="1" applyFont="1" applyFill="1" applyBorder="1" applyProtection="1">
      <protection locked="0"/>
    </xf>
    <xf numFmtId="167" fontId="2" fillId="2" borderId="1" xfId="1" applyNumberFormat="1" applyFont="1" applyFill="1" applyBorder="1" applyProtection="1">
      <protection locked="0"/>
    </xf>
    <xf numFmtId="10" fontId="2" fillId="0" borderId="1" xfId="1" applyNumberFormat="1" applyFont="1" applyBorder="1" applyProtection="1">
      <protection locked="0"/>
    </xf>
    <xf numFmtId="167" fontId="2" fillId="0" borderId="1" xfId="1" applyNumberFormat="1" applyFont="1" applyBorder="1" applyProtection="1">
      <protection locked="0"/>
    </xf>
    <xf numFmtId="167" fontId="10" fillId="2" borderId="1" xfId="1" applyNumberFormat="1" applyFont="1" applyFill="1" applyBorder="1" applyAlignment="1" applyProtection="1">
      <alignment vertical="center"/>
      <protection locked="0"/>
    </xf>
    <xf numFmtId="10" fontId="14" fillId="3" borderId="1" xfId="0" applyNumberFormat="1" applyFont="1" applyFill="1" applyBorder="1" applyProtection="1">
      <protection hidden="1"/>
    </xf>
    <xf numFmtId="6" fontId="14" fillId="3" borderId="1" xfId="0" applyNumberFormat="1" applyFont="1" applyFill="1" applyBorder="1" applyProtection="1">
      <protection hidden="1"/>
    </xf>
    <xf numFmtId="3" fontId="14" fillId="3" borderId="1" xfId="0" applyNumberFormat="1" applyFont="1" applyFill="1" applyBorder="1" applyProtection="1">
      <protection hidden="1"/>
    </xf>
    <xf numFmtId="0" fontId="14" fillId="2" borderId="1" xfId="0" applyFont="1" applyFill="1" applyBorder="1" applyProtection="1">
      <protection locked="0"/>
    </xf>
    <xf numFmtId="0" fontId="14" fillId="2" borderId="21" xfId="0" applyFont="1" applyFill="1" applyBorder="1" applyProtection="1">
      <protection locked="0"/>
    </xf>
    <xf numFmtId="0" fontId="27" fillId="0" borderId="0" xfId="0" applyFont="1"/>
    <xf numFmtId="0" fontId="0" fillId="0" borderId="0" xfId="0" applyAlignment="1">
      <alignment vertical="center"/>
    </xf>
    <xf numFmtId="0" fontId="8" fillId="0" borderId="0" xfId="0" applyFont="1"/>
    <xf numFmtId="0" fontId="36" fillId="0" borderId="0" xfId="0" applyFont="1" applyAlignment="1"/>
    <xf numFmtId="0" fontId="37" fillId="0" borderId="0" xfId="0" applyFont="1" applyAlignment="1">
      <alignment horizontal="left"/>
    </xf>
    <xf numFmtId="0" fontId="0" fillId="0" borderId="26" xfId="0" applyBorder="1"/>
    <xf numFmtId="0" fontId="28" fillId="0" borderId="0" xfId="0" applyFont="1" applyAlignment="1">
      <alignment horizontal="center"/>
    </xf>
    <xf numFmtId="0" fontId="28" fillId="0" borderId="0" xfId="0" applyFont="1" applyAlignment="1">
      <alignment horizontal="center"/>
    </xf>
    <xf numFmtId="0" fontId="3" fillId="8" borderId="29" xfId="0" applyFont="1" applyFill="1" applyBorder="1" applyAlignment="1">
      <alignment horizontal="justify" vertical="top" wrapText="1"/>
    </xf>
    <xf numFmtId="0" fontId="3" fillId="0" borderId="29" xfId="0" applyFont="1" applyBorder="1" applyAlignment="1">
      <alignment horizontal="justify" vertical="top" wrapText="1"/>
    </xf>
    <xf numFmtId="0" fontId="28" fillId="0" borderId="0" xfId="0" applyFont="1" applyAlignment="1"/>
    <xf numFmtId="0" fontId="3" fillId="8" borderId="31" xfId="0" applyFont="1" applyFill="1" applyBorder="1" applyAlignment="1">
      <alignment horizontal="justify" vertical="top" wrapText="1"/>
    </xf>
    <xf numFmtId="0" fontId="3" fillId="0" borderId="31" xfId="0" applyFont="1" applyBorder="1" applyAlignment="1">
      <alignment horizontal="justify" vertical="top" wrapText="1"/>
    </xf>
    <xf numFmtId="0" fontId="3" fillId="9" borderId="31" xfId="0" applyFont="1" applyFill="1" applyBorder="1" applyAlignment="1">
      <alignment horizontal="center" vertical="center" wrapText="1"/>
    </xf>
    <xf numFmtId="0" fontId="2" fillId="8" borderId="31" xfId="0" applyFont="1" applyFill="1" applyBorder="1" applyAlignment="1">
      <alignment horizontal="justify" vertical="top" wrapText="1"/>
    </xf>
    <xf numFmtId="0" fontId="2" fillId="9" borderId="31" xfId="0" applyFont="1" applyFill="1" applyBorder="1" applyAlignment="1">
      <alignment horizontal="justify" vertical="top" wrapText="1"/>
    </xf>
    <xf numFmtId="0" fontId="2" fillId="8" borderId="30" xfId="0" applyFont="1" applyFill="1" applyBorder="1" applyAlignment="1">
      <alignment horizontal="justify" vertical="top" wrapText="1"/>
    </xf>
    <xf numFmtId="0" fontId="2" fillId="0" borderId="30" xfId="0" applyFont="1" applyBorder="1" applyAlignment="1">
      <alignment horizontal="justify" vertical="top" wrapText="1"/>
    </xf>
    <xf numFmtId="0" fontId="39" fillId="8" borderId="30" xfId="0" applyFont="1" applyFill="1" applyBorder="1" applyAlignment="1">
      <alignment horizontal="justify" vertical="top" wrapText="1"/>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31" fillId="0" borderId="30" xfId="3" applyBorder="1" applyAlignment="1">
      <alignment horizontal="justify" vertical="top" wrapText="1"/>
    </xf>
    <xf numFmtId="0" fontId="30" fillId="0" borderId="0" xfId="0" applyFont="1" applyAlignment="1"/>
    <xf numFmtId="0" fontId="0" fillId="0" borderId="0" xfId="0" applyBorder="1"/>
    <xf numFmtId="0" fontId="29" fillId="0" borderId="0" xfId="0" applyFont="1"/>
    <xf numFmtId="0" fontId="29" fillId="0" borderId="0" xfId="0" applyFont="1" applyAlignment="1">
      <alignment vertical="center"/>
    </xf>
    <xf numFmtId="0" fontId="43" fillId="0" borderId="0" xfId="0" applyFont="1"/>
    <xf numFmtId="0" fontId="40" fillId="8" borderId="30" xfId="3" applyFont="1" applyFill="1" applyBorder="1" applyAlignment="1">
      <alignment horizontal="justify" vertical="top" wrapText="1"/>
    </xf>
    <xf numFmtId="0" fontId="3" fillId="8" borderId="35" xfId="0" applyFont="1" applyFill="1" applyBorder="1" applyAlignment="1">
      <alignment horizontal="justify" vertical="top" wrapText="1"/>
    </xf>
    <xf numFmtId="0" fontId="3" fillId="0" borderId="35" xfId="0" applyFont="1" applyBorder="1" applyAlignment="1">
      <alignment horizontal="justify" vertical="top" wrapText="1"/>
    </xf>
    <xf numFmtId="0" fontId="45" fillId="0" borderId="0" xfId="0" applyFont="1" applyAlignment="1">
      <alignment horizontal="justify"/>
    </xf>
    <xf numFmtId="0" fontId="46" fillId="0" borderId="0" xfId="0" applyFont="1" applyAlignment="1"/>
    <xf numFmtId="0" fontId="32" fillId="11" borderId="0" xfId="3" applyFont="1" applyFill="1" applyAlignment="1" applyProtection="1">
      <alignment horizontal="left" vertical="center"/>
    </xf>
    <xf numFmtId="0" fontId="33" fillId="11" borderId="0" xfId="3" applyFont="1" applyFill="1" applyAlignment="1" applyProtection="1">
      <alignment horizontal="left" vertical="center"/>
    </xf>
    <xf numFmtId="0" fontId="32" fillId="11" borderId="0" xfId="3" applyFont="1" applyFill="1" applyAlignment="1" applyProtection="1">
      <alignment vertical="center"/>
    </xf>
    <xf numFmtId="0" fontId="41" fillId="10" borderId="0" xfId="3" applyFont="1" applyFill="1" applyAlignment="1" applyProtection="1">
      <alignment horizontal="left" vertical="center"/>
    </xf>
    <xf numFmtId="0" fontId="0" fillId="10" borderId="0" xfId="0" applyFill="1" applyProtection="1"/>
    <xf numFmtId="0" fontId="42" fillId="10" borderId="0" xfId="3" applyFont="1" applyFill="1" applyAlignment="1" applyProtection="1">
      <alignment horizontal="left" vertical="center"/>
    </xf>
    <xf numFmtId="0" fontId="48" fillId="0" borderId="0" xfId="0" applyFont="1" applyAlignment="1">
      <alignment horizontal="center"/>
    </xf>
    <xf numFmtId="0" fontId="30" fillId="0" borderId="0" xfId="0" applyFont="1" applyAlignment="1">
      <alignment horizontal="center"/>
    </xf>
    <xf numFmtId="0" fontId="35" fillId="0" borderId="0" xfId="0" applyFont="1" applyAlignment="1">
      <alignment horizontal="center"/>
    </xf>
    <xf numFmtId="0" fontId="2" fillId="8" borderId="35" xfId="0" applyFont="1" applyFill="1" applyBorder="1" applyAlignment="1">
      <alignment horizontal="left" vertical="top" wrapText="1"/>
    </xf>
    <xf numFmtId="0" fontId="2" fillId="0" borderId="35" xfId="0" applyFont="1" applyBorder="1" applyAlignment="1">
      <alignment horizontal="left" vertical="top" wrapText="1"/>
    </xf>
    <xf numFmtId="0" fontId="31" fillId="0" borderId="35" xfId="3" applyBorder="1" applyAlignment="1">
      <alignment horizontal="left" vertical="top" wrapText="1"/>
    </xf>
    <xf numFmtId="0" fontId="3" fillId="0" borderId="35" xfId="0" applyFont="1" applyBorder="1" applyAlignment="1">
      <alignment horizontal="justify" vertical="top" wrapText="1"/>
    </xf>
    <xf numFmtId="0" fontId="38" fillId="10" borderId="35" xfId="0" applyFont="1" applyFill="1" applyBorder="1" applyAlignment="1">
      <alignment horizontal="center" vertical="top" wrapText="1"/>
    </xf>
    <xf numFmtId="0" fontId="40" fillId="8" borderId="35" xfId="3" applyFont="1" applyFill="1" applyBorder="1" applyAlignment="1">
      <alignment horizontal="left" vertical="top" wrapText="1"/>
    </xf>
    <xf numFmtId="0" fontId="39" fillId="8" borderId="35" xfId="0" applyFont="1" applyFill="1" applyBorder="1" applyAlignment="1">
      <alignment horizontal="left" vertical="top" wrapText="1"/>
    </xf>
    <xf numFmtId="0" fontId="2" fillId="0" borderId="31" xfId="0" applyFont="1" applyBorder="1" applyAlignment="1">
      <alignment horizontal="justify" vertical="top" wrapText="1"/>
    </xf>
    <xf numFmtId="0" fontId="28" fillId="0" borderId="0" xfId="0" applyFont="1" applyAlignment="1">
      <alignment horizontal="center"/>
    </xf>
    <xf numFmtId="14" fontId="2" fillId="8" borderId="31" xfId="0" applyNumberFormat="1" applyFont="1" applyFill="1" applyBorder="1" applyAlignment="1">
      <alignment horizontal="justify" vertical="top" wrapText="1"/>
    </xf>
    <xf numFmtId="14" fontId="2" fillId="0" borderId="31" xfId="0" applyNumberFormat="1" applyFont="1" applyBorder="1" applyAlignment="1">
      <alignment horizontal="justify" vertical="top" wrapText="1"/>
    </xf>
    <xf numFmtId="0" fontId="2" fillId="8" borderId="31" xfId="0" applyFont="1" applyFill="1" applyBorder="1" applyAlignment="1">
      <alignment horizontal="justify" vertical="top" wrapText="1"/>
    </xf>
    <xf numFmtId="0" fontId="0" fillId="0" borderId="31" xfId="0" applyBorder="1"/>
    <xf numFmtId="0" fontId="38" fillId="7" borderId="31" xfId="0" applyFont="1" applyFill="1" applyBorder="1" applyAlignment="1">
      <alignment horizontal="center" vertical="top" wrapText="1"/>
    </xf>
    <xf numFmtId="0" fontId="38" fillId="10" borderId="27" xfId="0" applyFont="1" applyFill="1" applyBorder="1" applyAlignment="1">
      <alignment horizontal="center" vertical="top" wrapText="1"/>
    </xf>
    <xf numFmtId="0" fontId="38" fillId="10" borderId="28" xfId="0" applyFont="1" applyFill="1" applyBorder="1" applyAlignment="1">
      <alignment horizontal="center" vertical="top" wrapText="1"/>
    </xf>
    <xf numFmtId="0" fontId="3" fillId="0" borderId="34" xfId="0" applyFont="1" applyBorder="1" applyAlignment="1">
      <alignment horizontal="justify" vertical="top" wrapText="1"/>
    </xf>
    <xf numFmtId="0" fontId="3" fillId="0" borderId="32" xfId="0" applyFont="1" applyBorder="1" applyAlignment="1">
      <alignment horizontal="justify" vertical="top" wrapText="1"/>
    </xf>
    <xf numFmtId="0" fontId="3" fillId="0" borderId="29" xfId="0" applyFont="1" applyBorder="1" applyAlignment="1">
      <alignment horizontal="justify" vertical="top" wrapText="1"/>
    </xf>
    <xf numFmtId="0" fontId="44" fillId="0" borderId="0" xfId="0" applyFont="1" applyAlignment="1" applyProtection="1">
      <alignment horizontal="left"/>
    </xf>
    <xf numFmtId="0" fontId="2" fillId="5" borderId="1" xfId="0" applyFont="1" applyFill="1" applyBorder="1" applyAlignment="1">
      <alignment horizontal="center"/>
    </xf>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13" fillId="0" borderId="2" xfId="0" applyFont="1" applyBorder="1" applyAlignment="1">
      <alignment horizontal="left"/>
    </xf>
    <xf numFmtId="0" fontId="13" fillId="0" borderId="4" xfId="0" applyFont="1" applyBorder="1" applyAlignment="1">
      <alignment horizontal="left"/>
    </xf>
    <xf numFmtId="0" fontId="13" fillId="0" borderId="3" xfId="0" applyFont="1" applyBorder="1" applyAlignment="1">
      <alignment horizontal="left"/>
    </xf>
    <xf numFmtId="0" fontId="9" fillId="0" borderId="1" xfId="0" applyFont="1" applyBorder="1" applyAlignment="1">
      <alignment horizontal="left"/>
    </xf>
    <xf numFmtId="0" fontId="9" fillId="0" borderId="21" xfId="0" applyFont="1" applyBorder="1" applyAlignment="1">
      <alignment horizontal="left"/>
    </xf>
    <xf numFmtId="0" fontId="2" fillId="0" borderId="17" xfId="0" applyFont="1" applyBorder="1" applyAlignment="1">
      <alignment horizontal="left"/>
    </xf>
    <xf numFmtId="0" fontId="2" fillId="0" borderId="0" xfId="0" applyFont="1" applyBorder="1" applyAlignment="1">
      <alignment horizontal="left"/>
    </xf>
    <xf numFmtId="0" fontId="2" fillId="0" borderId="18" xfId="0" applyFont="1" applyBorder="1" applyAlignment="1">
      <alignment horizontal="left"/>
    </xf>
    <xf numFmtId="0" fontId="9" fillId="0" borderId="0" xfId="0" applyFont="1" applyBorder="1" applyAlignment="1">
      <alignment horizontal="left"/>
    </xf>
    <xf numFmtId="0" fontId="2" fillId="0" borderId="2" xfId="0" applyFont="1" applyBorder="1" applyAlignment="1">
      <alignment horizontal="left" wrapText="1"/>
    </xf>
    <xf numFmtId="0" fontId="2" fillId="0" borderId="4" xfId="0" applyFont="1" applyBorder="1" applyAlignment="1">
      <alignment horizontal="left" wrapText="1"/>
    </xf>
    <xf numFmtId="169" fontId="8" fillId="2" borderId="4" xfId="2" applyNumberFormat="1" applyFont="1" applyFill="1" applyBorder="1" applyAlignment="1" applyProtection="1">
      <alignment horizontal="center" vertical="center"/>
      <protection locked="0"/>
    </xf>
    <xf numFmtId="0" fontId="0" fillId="0" borderId="3" xfId="0" applyBorder="1" applyProtection="1">
      <protection locked="0"/>
    </xf>
    <xf numFmtId="0" fontId="11" fillId="0" borderId="6" xfId="0" applyFont="1" applyBorder="1" applyAlignment="1">
      <alignment horizontal="center"/>
    </xf>
    <xf numFmtId="0" fontId="2" fillId="0" borderId="0" xfId="0" applyFont="1" applyBorder="1" applyAlignment="1">
      <alignment horizontal="center"/>
    </xf>
    <xf numFmtId="0" fontId="34" fillId="0" borderId="0" xfId="0" applyFont="1" applyBorder="1" applyAlignment="1">
      <alignment horizontal="center"/>
    </xf>
    <xf numFmtId="0" fontId="9" fillId="0" borderId="0" xfId="0" applyFont="1" applyBorder="1" applyAlignment="1">
      <alignment horizontal="center"/>
    </xf>
    <xf numFmtId="0" fontId="24" fillId="6" borderId="0" xfId="0" applyFont="1" applyFill="1" applyAlignment="1">
      <alignment horizontal="center"/>
    </xf>
    <xf numFmtId="0" fontId="6" fillId="5" borderId="1" xfId="0" applyFont="1" applyFill="1" applyBorder="1" applyAlignment="1">
      <alignment horizontal="center"/>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Border="1" applyAlignment="1">
      <alignment horizontal="left" vertical="center"/>
    </xf>
    <xf numFmtId="0" fontId="2" fillId="0" borderId="21"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2" fillId="5" borderId="2" xfId="0" applyFont="1" applyFill="1" applyBorder="1" applyAlignment="1">
      <alignment horizontal="center"/>
    </xf>
    <xf numFmtId="0" fontId="2" fillId="5" borderId="4" xfId="0" applyFont="1" applyFill="1" applyBorder="1" applyAlignment="1">
      <alignment horizontal="center"/>
    </xf>
    <xf numFmtId="0" fontId="2" fillId="5" borderId="3" xfId="0" applyFont="1" applyFill="1" applyBorder="1" applyAlignment="1">
      <alignment horizont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left"/>
    </xf>
    <xf numFmtId="0" fontId="2" fillId="0" borderId="19"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20" xfId="0" applyFont="1" applyBorder="1" applyAlignment="1">
      <alignment horizontal="left"/>
    </xf>
    <xf numFmtId="0" fontId="2" fillId="0" borderId="16" xfId="0" applyFont="1" applyBorder="1" applyAlignment="1">
      <alignment horizontal="left"/>
    </xf>
    <xf numFmtId="0" fontId="2" fillId="0" borderId="1" xfId="0" applyFont="1" applyBorder="1" applyAlignment="1">
      <alignment horizontal="left" vertical="center" wrapText="1"/>
    </xf>
    <xf numFmtId="0" fontId="2" fillId="0" borderId="6"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cellXfs>
  <cellStyles count="4">
    <cellStyle name="Collegamento ipertestuale" xfId="3" builtinId="8"/>
    <cellStyle name="Migliaia" xfId="2" builtinId="3"/>
    <cellStyle name="Normale" xfId="0" builtinId="0"/>
    <cellStyle name="Percentuale" xfId="1" builtinId="5"/>
  </cellStyles>
  <dxfs count="14">
    <dxf>
      <fill>
        <patternFill>
          <bgColor rgb="FF0070C0"/>
        </patternFill>
      </fill>
    </dxf>
    <dxf>
      <font>
        <color rgb="FF9C0006"/>
      </font>
    </dxf>
    <dxf>
      <fill>
        <patternFill>
          <bgColor rgb="FF92D050"/>
        </patternFill>
      </fill>
    </dxf>
    <dxf>
      <fill>
        <patternFill>
          <bgColor rgb="FF92D050"/>
        </patternFill>
      </fill>
    </dxf>
    <dxf>
      <font>
        <color rgb="FF9C0006"/>
      </font>
    </dxf>
    <dxf>
      <font>
        <color rgb="FF9C0006"/>
      </font>
    </dxf>
    <dxf>
      <font>
        <color rgb="FF9C0006"/>
      </font>
    </dxf>
    <dxf>
      <font>
        <b/>
        <i val="0"/>
        <u val="double"/>
        <color theme="3" tint="-0.499984740745262"/>
      </font>
      <fill>
        <patternFill>
          <bgColor theme="6" tint="0.39994506668294322"/>
        </patternFill>
      </fill>
    </dxf>
    <dxf>
      <fill>
        <patternFill>
          <bgColor rgb="FF92D050"/>
        </patternFill>
      </fill>
    </dxf>
    <dxf>
      <font>
        <color rgb="FF9C0006"/>
      </font>
      <fill>
        <patternFill>
          <bgColor rgb="FFFFC7CE"/>
        </patternFill>
      </fill>
    </dxf>
    <dxf>
      <fill>
        <patternFill>
          <bgColor rgb="FFFF0000"/>
        </patternFill>
      </fill>
    </dxf>
    <dxf>
      <font>
        <color theme="0"/>
      </font>
    </dxf>
    <dxf>
      <font>
        <color theme="0"/>
      </font>
    </dxf>
    <dxf>
      <font>
        <color rgb="FF9C0006"/>
      </font>
    </dxf>
  </dxfs>
  <tableStyles count="0" defaultTableStyle="TableStyleMedium9" defaultPivotStyle="PivotStyleLight16"/>
  <colors>
    <mruColors>
      <color rgb="FF4A7EBB"/>
      <color rgb="FF538DD5"/>
      <color rgb="FFFFFFCC"/>
      <color rgb="FFEDF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it-IT"/>
            </a:pPr>
            <a:r>
              <a:rPr lang="en-US"/>
              <a:t>Net Present Value for the</a:t>
            </a:r>
            <a:r>
              <a:rPr lang="en-US" baseline="0"/>
              <a:t> Municipality</a:t>
            </a:r>
            <a:endParaRPr lang="en-US"/>
          </a:p>
        </c:rich>
      </c:tx>
      <c:overlay val="0"/>
    </c:title>
    <c:autoTitleDeleted val="0"/>
    <c:plotArea>
      <c:layout>
        <c:manualLayout>
          <c:layoutTarget val="inner"/>
          <c:xMode val="edge"/>
          <c:yMode val="edge"/>
          <c:x val="0.1307877631476374"/>
          <c:y val="0.14734227761473653"/>
          <c:w val="0.84418383563012178"/>
          <c:h val="0.76205889478794187"/>
        </c:manualLayout>
      </c:layout>
      <c:lineChart>
        <c:grouping val="standard"/>
        <c:varyColors val="0"/>
        <c:ser>
          <c:idx val="1"/>
          <c:order val="0"/>
          <c:tx>
            <c:strRef>
              <c:f>Sheet1!$P$44</c:f>
              <c:strCache>
                <c:ptCount val="1"/>
                <c:pt idx="0">
                  <c:v>NPV</c:v>
                </c:pt>
              </c:strCache>
            </c:strRef>
          </c:tx>
          <c:marker>
            <c:symbol val="none"/>
          </c:marker>
          <c:cat>
            <c:numRef>
              <c:f>Sheet1!$C$45:$C$80</c:f>
              <c:numCache>
                <c:formatCode>General</c:formatCode>
                <c:ptCount val="3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cat>
          <c:val>
            <c:numRef>
              <c:f>Sheet1!$P$45:$P$80</c:f>
              <c:numCache>
                <c:formatCode>#,##0_ ;[Red]\-#,##0\ </c:formatCode>
                <c:ptCount val="36"/>
                <c:pt idx="0">
                  <c:v>-40195.600000000035</c:v>
                </c:pt>
                <c:pt idx="1">
                  <c:v>-56754.699445795333</c:v>
                </c:pt>
                <c:pt idx="2">
                  <c:v>-72481.542708090681</c:v>
                </c:pt>
                <c:pt idx="3">
                  <c:v>-87417.958572272677</c:v>
                </c:pt>
                <c:pt idx="4">
                  <c:v>-101604.55395431268</c:v>
                </c:pt>
                <c:pt idx="5">
                  <c:v>-115077.2979013679</c:v>
                </c:pt>
                <c:pt idx="6">
                  <c:v>-127872.90442742365</c:v>
                </c:pt>
                <c:pt idx="7">
                  <c:v>-140025.40616022499</c:v>
                </c:pt>
                <c:pt idx="8">
                  <c:v>-151567.90040069807</c:v>
                </c:pt>
                <c:pt idx="9">
                  <c:v>-162529.53456991623</c:v>
                </c:pt>
                <c:pt idx="10">
                  <c:v>-172940.23863299782</c:v>
                </c:pt>
                <c:pt idx="11">
                  <c:v>-160543.52494090193</c:v>
                </c:pt>
                <c:pt idx="12">
                  <c:v>-148785.07585159951</c:v>
                </c:pt>
                <c:pt idx="13">
                  <c:v>-137630.95369955077</c:v>
                </c:pt>
                <c:pt idx="14">
                  <c:v>-127050.92545041443</c:v>
                </c:pt>
                <c:pt idx="15">
                  <c:v>-117015.64884311025</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0-4133-4CEB-8589-BF8272FFC7C8}"/>
            </c:ext>
          </c:extLst>
        </c:ser>
        <c:dLbls>
          <c:showLegendKey val="0"/>
          <c:showVal val="0"/>
          <c:showCatName val="0"/>
          <c:showSerName val="0"/>
          <c:showPercent val="0"/>
          <c:showBubbleSize val="0"/>
        </c:dLbls>
        <c:marker val="1"/>
        <c:smooth val="0"/>
        <c:axId val="85320704"/>
        <c:axId val="80359936"/>
      </c:lineChart>
      <c:catAx>
        <c:axId val="85320704"/>
        <c:scaling>
          <c:orientation val="minMax"/>
        </c:scaling>
        <c:delete val="0"/>
        <c:axPos val="b"/>
        <c:title>
          <c:tx>
            <c:rich>
              <a:bodyPr/>
              <a:lstStyle/>
              <a:p>
                <a:pPr>
                  <a:defRPr lang="it-IT" sz="1000" b="0"/>
                </a:pPr>
                <a:r>
                  <a:rPr lang="en-GB" sz="1000" b="0"/>
                  <a:t>Years</a:t>
                </a:r>
              </a:p>
            </c:rich>
          </c:tx>
          <c:layout>
            <c:manualLayout>
              <c:xMode val="edge"/>
              <c:yMode val="edge"/>
              <c:x val="0.52296409557951173"/>
              <c:y val="0.92687945664518601"/>
            </c:manualLayout>
          </c:layout>
          <c:overlay val="0"/>
        </c:title>
        <c:numFmt formatCode="General" sourceLinked="1"/>
        <c:majorTickMark val="cross"/>
        <c:minorTickMark val="none"/>
        <c:tickLblPos val="nextTo"/>
        <c:txPr>
          <a:bodyPr/>
          <a:lstStyle/>
          <a:p>
            <a:pPr>
              <a:defRPr lang="it-IT"/>
            </a:pPr>
            <a:endParaRPr lang="it-IT"/>
          </a:p>
        </c:txPr>
        <c:crossAx val="80359936"/>
        <c:crosses val="autoZero"/>
        <c:auto val="1"/>
        <c:lblAlgn val="ctr"/>
        <c:lblOffset val="100"/>
        <c:tickMarkSkip val="1"/>
        <c:noMultiLvlLbl val="0"/>
      </c:catAx>
      <c:valAx>
        <c:axId val="80359936"/>
        <c:scaling>
          <c:orientation val="minMax"/>
        </c:scaling>
        <c:delete val="0"/>
        <c:axPos val="l"/>
        <c:majorGridlines>
          <c:spPr>
            <a:ln w="6350">
              <a:prstDash val="dash"/>
            </a:ln>
          </c:spPr>
        </c:majorGridlines>
        <c:numFmt formatCode="#,##0\ &quot;€&quot;" sourceLinked="0"/>
        <c:majorTickMark val="out"/>
        <c:minorTickMark val="none"/>
        <c:tickLblPos val="nextTo"/>
        <c:txPr>
          <a:bodyPr/>
          <a:lstStyle/>
          <a:p>
            <a:pPr>
              <a:defRPr lang="it-IT">
                <a:solidFill>
                  <a:schemeClr val="tx1"/>
                </a:solidFill>
              </a:defRPr>
            </a:pPr>
            <a:endParaRPr lang="it-IT"/>
          </a:p>
        </c:txPr>
        <c:crossAx val="85320704"/>
        <c:crosses val="autoZero"/>
        <c:crossBetween val="between"/>
      </c:valAx>
      <c:spPr>
        <a:ln>
          <a:solidFill>
            <a:schemeClr val="tx1">
              <a:lumMod val="50000"/>
              <a:lumOff val="50000"/>
            </a:schemeClr>
          </a:solidFill>
        </a:ln>
      </c:spPr>
    </c:plotArea>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it-IT"/>
            </a:pPr>
            <a:r>
              <a:rPr lang="en-US"/>
              <a:t> Cumulative</a:t>
            </a:r>
            <a:r>
              <a:rPr lang="en-US" baseline="0"/>
              <a:t> Project </a:t>
            </a:r>
            <a:r>
              <a:rPr lang="en-US"/>
              <a:t>Cashflow from Energy Savings before financial</a:t>
            </a:r>
            <a:r>
              <a:rPr lang="en-US" baseline="0"/>
              <a:t> cost</a:t>
            </a:r>
          </a:p>
        </c:rich>
      </c:tx>
      <c:overlay val="0"/>
    </c:title>
    <c:autoTitleDeleted val="0"/>
    <c:plotArea>
      <c:layout/>
      <c:barChart>
        <c:barDir val="col"/>
        <c:grouping val="clustered"/>
        <c:varyColors val="0"/>
        <c:ser>
          <c:idx val="0"/>
          <c:order val="0"/>
          <c:tx>
            <c:strRef>
              <c:f>Sheet1!$J$4</c:f>
              <c:strCache>
                <c:ptCount val="1"/>
                <c:pt idx="0">
                  <c:v>Cumulative Project  Cashflow</c:v>
                </c:pt>
              </c:strCache>
            </c:strRef>
          </c:tx>
          <c:spPr>
            <a:solidFill>
              <a:schemeClr val="tx2"/>
            </a:solidFill>
          </c:spPr>
          <c:invertIfNegative val="0"/>
          <c:dPt>
            <c:idx val="0"/>
            <c:invertIfNegative val="0"/>
            <c:bubble3D val="0"/>
            <c:spPr>
              <a:solidFill>
                <a:srgbClr val="FF0000"/>
              </a:solidFill>
            </c:spPr>
            <c:extLst xmlns:c16r2="http://schemas.microsoft.com/office/drawing/2015/06/chart">
              <c:ext xmlns:c16="http://schemas.microsoft.com/office/drawing/2014/chart" uri="{C3380CC4-5D6E-409C-BE32-E72D297353CC}">
                <c16:uniqueId val="{00000000-3426-48AA-B4DA-00809195D80F}"/>
              </c:ext>
            </c:extLst>
          </c:dPt>
          <c:cat>
            <c:numRef>
              <c:f>Sheet1!$C$5:$C$40</c:f>
              <c:numCache>
                <c:formatCode>General</c:formatCode>
                <c:ptCount val="3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cat>
          <c:val>
            <c:numRef>
              <c:f>Sheet1!$J$5:$J$40</c:f>
              <c:numCache>
                <c:formatCode>#,##0_ ;[Red]\-#,##0\ </c:formatCode>
                <c:ptCount val="36"/>
                <c:pt idx="0">
                  <c:v>-401956</c:v>
                </c:pt>
                <c:pt idx="1">
                  <c:v>-348951.70400000003</c:v>
                </c:pt>
                <c:pt idx="2">
                  <c:v>-295969.14413760003</c:v>
                </c:pt>
                <c:pt idx="3">
                  <c:v>-243008.64791134628</c:v>
                </c:pt>
                <c:pt idx="4">
                  <c:v>-190071.63181263837</c:v>
                </c:pt>
                <c:pt idx="5">
                  <c:v>-137156.271728302</c:v>
                </c:pt>
                <c:pt idx="6">
                  <c:v>-84263.99766738608</c:v>
                </c:pt>
                <c:pt idx="7">
                  <c:v>-31395.164169036529</c:v>
                </c:pt>
                <c:pt idx="8">
                  <c:v>21448.695466718687</c:v>
                </c:pt>
                <c:pt idx="9">
                  <c:v>74269.55567446466</c:v>
                </c:pt>
                <c:pt idx="10">
                  <c:v>127065.86852224389</c:v>
                </c:pt>
                <c:pt idx="11">
                  <c:v>179837.25020131347</c:v>
                </c:pt>
                <c:pt idx="12">
                  <c:v>232582.04097424718</c:v>
                </c:pt>
                <c:pt idx="13">
                  <c:v>285302.37798837712</c:v>
                </c:pt>
                <c:pt idx="14">
                  <c:v>337996.58566821489</c:v>
                </c:pt>
                <c:pt idx="15">
                  <c:v>390664.24852268206</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1-3426-48AA-B4DA-00809195D80F}"/>
            </c:ext>
          </c:extLst>
        </c:ser>
        <c:dLbls>
          <c:showLegendKey val="0"/>
          <c:showVal val="0"/>
          <c:showCatName val="0"/>
          <c:showSerName val="0"/>
          <c:showPercent val="0"/>
          <c:showBubbleSize val="0"/>
        </c:dLbls>
        <c:gapWidth val="150"/>
        <c:axId val="85321728"/>
        <c:axId val="80361664"/>
      </c:barChart>
      <c:catAx>
        <c:axId val="85321728"/>
        <c:scaling>
          <c:orientation val="minMax"/>
        </c:scaling>
        <c:delete val="0"/>
        <c:axPos val="b"/>
        <c:numFmt formatCode="General" sourceLinked="1"/>
        <c:majorTickMark val="out"/>
        <c:minorTickMark val="none"/>
        <c:tickLblPos val="nextTo"/>
        <c:txPr>
          <a:bodyPr/>
          <a:lstStyle/>
          <a:p>
            <a:pPr>
              <a:defRPr lang="it-IT"/>
            </a:pPr>
            <a:endParaRPr lang="it-IT"/>
          </a:p>
        </c:txPr>
        <c:crossAx val="80361664"/>
        <c:crossesAt val="0"/>
        <c:auto val="1"/>
        <c:lblAlgn val="ctr"/>
        <c:lblOffset val="100"/>
        <c:noMultiLvlLbl val="0"/>
      </c:catAx>
      <c:valAx>
        <c:axId val="80361664"/>
        <c:scaling>
          <c:orientation val="minMax"/>
        </c:scaling>
        <c:delete val="0"/>
        <c:axPos val="l"/>
        <c:majorGridlines/>
        <c:numFmt formatCode="&quot;€&quot;\ #,##0" sourceLinked="0"/>
        <c:majorTickMark val="out"/>
        <c:minorTickMark val="none"/>
        <c:tickLblPos val="nextTo"/>
        <c:txPr>
          <a:bodyPr/>
          <a:lstStyle/>
          <a:p>
            <a:pPr>
              <a:defRPr lang="it-IT"/>
            </a:pPr>
            <a:endParaRPr lang="it-IT"/>
          </a:p>
        </c:txPr>
        <c:crossAx val="85321728"/>
        <c:crosses val="autoZero"/>
        <c:crossBetween val="between"/>
      </c:valAx>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it-IT"/>
            </a:pPr>
            <a:r>
              <a:rPr lang="en-US" baseline="0"/>
              <a:t>C</a:t>
            </a:r>
            <a:r>
              <a:rPr lang="en-US"/>
              <a:t>umulative Municipality  Cashflow</a:t>
            </a:r>
          </a:p>
        </c:rich>
      </c:tx>
      <c:overlay val="0"/>
    </c:title>
    <c:autoTitleDeleted val="0"/>
    <c:plotArea>
      <c:layout/>
      <c:barChart>
        <c:barDir val="col"/>
        <c:grouping val="clustered"/>
        <c:varyColors val="0"/>
        <c:ser>
          <c:idx val="0"/>
          <c:order val="0"/>
          <c:tx>
            <c:strRef>
              <c:f>Sheet1!$M$44</c:f>
              <c:strCache>
                <c:ptCount val="1"/>
                <c:pt idx="0">
                  <c:v>Cumulative cashflow</c:v>
                </c:pt>
              </c:strCache>
            </c:strRef>
          </c:tx>
          <c:spPr>
            <a:solidFill>
              <a:schemeClr val="tx2"/>
            </a:solidFill>
          </c:spPr>
          <c:invertIfNegative val="0"/>
          <c:dPt>
            <c:idx val="0"/>
            <c:invertIfNegative val="0"/>
            <c:bubble3D val="0"/>
            <c:spPr>
              <a:solidFill>
                <a:srgbClr val="FF0000"/>
              </a:solidFill>
            </c:spPr>
            <c:extLst xmlns:c16r2="http://schemas.microsoft.com/office/drawing/2015/06/chart">
              <c:ext xmlns:c16="http://schemas.microsoft.com/office/drawing/2014/chart" uri="{C3380CC4-5D6E-409C-BE32-E72D297353CC}">
                <c16:uniqueId val="{00000000-11F6-49F8-BDC5-6113BC6B052C}"/>
              </c:ext>
            </c:extLst>
          </c:dPt>
          <c:cat>
            <c:numRef>
              <c:f>Sheet1!$C$45:$C$80</c:f>
              <c:numCache>
                <c:formatCode>General</c:formatCode>
                <c:ptCount val="3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cat>
          <c:val>
            <c:numRef>
              <c:f>Sheet1!$M$45:$M$80</c:f>
              <c:numCache>
                <c:formatCode>#,##0_ ;[Red]\-#,##0\ </c:formatCode>
                <c:ptCount val="36"/>
                <c:pt idx="0">
                  <c:v>-40195.600000000035</c:v>
                </c:pt>
                <c:pt idx="1">
                  <c:v>-57632.331716422486</c:v>
                </c:pt>
                <c:pt idx="2">
                  <c:v>-75070.397067244936</c:v>
                </c:pt>
                <c:pt idx="3">
                  <c:v>-92509.795919103941</c:v>
                </c:pt>
                <c:pt idx="4">
                  <c:v>-109951.61057080941</c:v>
                </c:pt>
                <c:pt idx="5">
                  <c:v>-127393.67602470456</c:v>
                </c:pt>
                <c:pt idx="6">
                  <c:v>-144837.07457962597</c:v>
                </c:pt>
                <c:pt idx="7">
                  <c:v>-162281.80610226354</c:v>
                </c:pt>
                <c:pt idx="8">
                  <c:v>-179729.04211870147</c:v>
                </c:pt>
                <c:pt idx="9">
                  <c:v>-197176.43917689435</c:v>
                </c:pt>
                <c:pt idx="10">
                  <c:v>-214625.16880295303</c:v>
                </c:pt>
                <c:pt idx="11">
                  <c:v>-192746.6128403059</c:v>
                </c:pt>
                <c:pt idx="12">
                  <c:v>-170894.64778379461</c:v>
                </c:pt>
                <c:pt idx="13">
                  <c:v>-149067.13648608711</c:v>
                </c:pt>
                <c:pt idx="14">
                  <c:v>-127265.75452267179</c:v>
                </c:pt>
                <c:pt idx="15">
                  <c:v>-105490.91738462706</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1-11F6-49F8-BDC5-6113BC6B052C}"/>
            </c:ext>
          </c:extLst>
        </c:ser>
        <c:dLbls>
          <c:showLegendKey val="0"/>
          <c:showVal val="0"/>
          <c:showCatName val="0"/>
          <c:showSerName val="0"/>
          <c:showPercent val="0"/>
          <c:showBubbleSize val="0"/>
        </c:dLbls>
        <c:gapWidth val="150"/>
        <c:axId val="85322240"/>
        <c:axId val="85393408"/>
      </c:barChart>
      <c:catAx>
        <c:axId val="85322240"/>
        <c:scaling>
          <c:orientation val="minMax"/>
        </c:scaling>
        <c:delete val="0"/>
        <c:axPos val="b"/>
        <c:numFmt formatCode="General" sourceLinked="1"/>
        <c:majorTickMark val="out"/>
        <c:minorTickMark val="none"/>
        <c:tickLblPos val="nextTo"/>
        <c:txPr>
          <a:bodyPr/>
          <a:lstStyle/>
          <a:p>
            <a:pPr>
              <a:defRPr lang="it-IT"/>
            </a:pPr>
            <a:endParaRPr lang="it-IT"/>
          </a:p>
        </c:txPr>
        <c:crossAx val="85393408"/>
        <c:crossesAt val="0"/>
        <c:auto val="1"/>
        <c:lblAlgn val="ctr"/>
        <c:lblOffset val="100"/>
        <c:noMultiLvlLbl val="0"/>
      </c:catAx>
      <c:valAx>
        <c:axId val="85393408"/>
        <c:scaling>
          <c:orientation val="minMax"/>
        </c:scaling>
        <c:delete val="0"/>
        <c:axPos val="l"/>
        <c:majorGridlines/>
        <c:numFmt formatCode="&quot;€&quot;\ #,##0" sourceLinked="0"/>
        <c:majorTickMark val="out"/>
        <c:minorTickMark val="none"/>
        <c:tickLblPos val="nextTo"/>
        <c:txPr>
          <a:bodyPr/>
          <a:lstStyle/>
          <a:p>
            <a:pPr>
              <a:defRPr lang="it-IT"/>
            </a:pPr>
            <a:endParaRPr lang="it-IT"/>
          </a:p>
        </c:txPr>
        <c:crossAx val="85322240"/>
        <c:crosses val="autoZero"/>
        <c:crossBetween val="between"/>
      </c:valAx>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rtus-project.eu"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hyperlink" Target="http://www.certus-project.eu/" TargetMode="External"/><Relationship Id="rId4" Type="http://schemas.openxmlformats.org/officeDocument/2006/relationships/image" Target="../media/image8.emf"/></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certus-project.eu/"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certus-project.eu/" TargetMode="External"/><Relationship Id="rId1" Type="http://schemas.openxmlformats.org/officeDocument/2006/relationships/image" Target="../media/image2.jpe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certus-project.eu/"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certus-project.eu/"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certus-project.eu/"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certus-project.eu/"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certus-project.eu"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certus-project.eu" TargetMode="External"/></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jpeg"/><Relationship Id="rId1" Type="http://schemas.openxmlformats.org/officeDocument/2006/relationships/hyperlink" Target="http://www.certus-project.eu/"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certus-project.eu/"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1519651</xdr:colOff>
      <xdr:row>7</xdr:row>
      <xdr:rowOff>66675</xdr:rowOff>
    </xdr:to>
    <xdr:pic>
      <xdr:nvPicPr>
        <xdr:cNvPr id="2" name="Picture 2">
          <a:hlinkClick xmlns:r="http://schemas.openxmlformats.org/officeDocument/2006/relationships" r:id="rId1"/>
        </xdr:cNvPr>
        <xdr:cNvPicPr>
          <a:picLocks noChangeAspect="1" noChangeArrowheads="1"/>
        </xdr:cNvPicPr>
      </xdr:nvPicPr>
      <xdr:blipFill rotWithShape="1">
        <a:blip xmlns:r="http://schemas.openxmlformats.org/officeDocument/2006/relationships" r:embed="rId2"/>
        <a:srcRect l="28320" t="10157" r="23730" b="72083"/>
        <a:stretch/>
      </xdr:blipFill>
      <xdr:spPr bwMode="auto">
        <a:xfrm>
          <a:off x="1" y="1"/>
          <a:ext cx="4320000" cy="1200149"/>
        </a:xfrm>
        <a:prstGeom prst="rect">
          <a:avLst/>
        </a:prstGeom>
        <a:noFill/>
        <a:ln w="1">
          <a:noFill/>
          <a:miter lim="800000"/>
          <a:headEnd/>
          <a:tailEnd type="none" w="med" len="med"/>
        </a:ln>
        <a:effectLst/>
      </xdr:spPr>
    </xdr:pic>
    <xdr:clientData/>
  </xdr:twoCellAnchor>
  <xdr:twoCellAnchor editAs="oneCell">
    <xdr:from>
      <xdr:col>0</xdr:col>
      <xdr:colOff>419101</xdr:colOff>
      <xdr:row>25</xdr:row>
      <xdr:rowOff>69658</xdr:rowOff>
    </xdr:from>
    <xdr:to>
      <xdr:col>5</xdr:col>
      <xdr:colOff>196127</xdr:colOff>
      <xdr:row>31</xdr:row>
      <xdr:rowOff>38100</xdr:rowOff>
    </xdr:to>
    <xdr:pic>
      <xdr:nvPicPr>
        <xdr:cNvPr id="4" name="Picture 2"/>
        <xdr:cNvPicPr>
          <a:picLocks noChangeAspect="1" noChangeArrowheads="1"/>
        </xdr:cNvPicPr>
      </xdr:nvPicPr>
      <xdr:blipFill rotWithShape="1">
        <a:blip xmlns:r="http://schemas.openxmlformats.org/officeDocument/2006/relationships" r:embed="rId2"/>
        <a:srcRect l="28320" t="76408" r="23730" b="10938"/>
        <a:stretch/>
      </xdr:blipFill>
      <xdr:spPr bwMode="auto">
        <a:xfrm>
          <a:off x="419101" y="4298758"/>
          <a:ext cx="4749076" cy="93999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180975</xdr:colOff>
      <xdr:row>26</xdr:row>
      <xdr:rowOff>85725</xdr:rowOff>
    </xdr:to>
    <xdr:pic>
      <xdr:nvPicPr>
        <xdr:cNvPr id="2" name="Εικόνα 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715375"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85725</xdr:rowOff>
    </xdr:from>
    <xdr:to>
      <xdr:col>14</xdr:col>
      <xdr:colOff>104775</xdr:colOff>
      <xdr:row>59</xdr:row>
      <xdr:rowOff>47625</xdr:rowOff>
    </xdr:to>
    <xdr:pic>
      <xdr:nvPicPr>
        <xdr:cNvPr id="3" name="Εικόνα 2">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4295775"/>
          <a:ext cx="8639175" cy="530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47625</xdr:rowOff>
    </xdr:from>
    <xdr:to>
      <xdr:col>14</xdr:col>
      <xdr:colOff>180975</xdr:colOff>
      <xdr:row>75</xdr:row>
      <xdr:rowOff>114300</xdr:rowOff>
    </xdr:to>
    <xdr:pic>
      <xdr:nvPicPr>
        <xdr:cNvPr id="4" name="Εικόνα 3">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601200"/>
          <a:ext cx="8715375"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9524</xdr:rowOff>
    </xdr:from>
    <xdr:to>
      <xdr:col>5</xdr:col>
      <xdr:colOff>232800</xdr:colOff>
      <xdr:row>5</xdr:row>
      <xdr:rowOff>80966</xdr:rowOff>
    </xdr:to>
    <xdr:pic>
      <xdr:nvPicPr>
        <xdr:cNvPr id="2" name="Immagine 4" descr="Descrizione: supportedby"/>
        <xdr:cNvPicPr>
          <a:picLocks noChangeAspect="1" noChangeArrowheads="1"/>
        </xdr:cNvPicPr>
      </xdr:nvPicPr>
      <xdr:blipFill>
        <a:blip xmlns:r="http://schemas.openxmlformats.org/officeDocument/2006/relationships" r:embed="rId1"/>
        <a:srcRect/>
        <a:stretch>
          <a:fillRect/>
        </a:stretch>
      </xdr:blipFill>
      <xdr:spPr bwMode="auto">
        <a:xfrm>
          <a:off x="609600" y="333374"/>
          <a:ext cx="2671200" cy="557217"/>
        </a:xfrm>
        <a:prstGeom prst="rect">
          <a:avLst/>
        </a:prstGeom>
        <a:noFill/>
        <a:ln w="9525">
          <a:noFill/>
          <a:miter lim="800000"/>
          <a:headEnd/>
          <a:tailEnd/>
        </a:ln>
      </xdr:spPr>
    </xdr:pic>
    <xdr:clientData/>
  </xdr:twoCellAnchor>
  <xdr:twoCellAnchor>
    <xdr:from>
      <xdr:col>1</xdr:col>
      <xdr:colOff>1</xdr:colOff>
      <xdr:row>11</xdr:row>
      <xdr:rowOff>104775</xdr:rowOff>
    </xdr:from>
    <xdr:to>
      <xdr:col>8</xdr:col>
      <xdr:colOff>781050</xdr:colOff>
      <xdr:row>16</xdr:row>
      <xdr:rowOff>66675</xdr:rowOff>
    </xdr:to>
    <xdr:sp macro="" textlink="">
      <xdr:nvSpPr>
        <xdr:cNvPr id="3" name="TextBox 2"/>
        <xdr:cNvSpPr txBox="1"/>
      </xdr:nvSpPr>
      <xdr:spPr>
        <a:xfrm>
          <a:off x="609601" y="2028825"/>
          <a:ext cx="5048249"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100" b="1">
              <a:solidFill>
                <a:schemeClr val="dk1"/>
              </a:solidFill>
              <a:latin typeface="+mn-lt"/>
              <a:ea typeface="+mn-ea"/>
              <a:cs typeface="+mn-cs"/>
            </a:rPr>
            <a:t>Acknowledgements</a:t>
          </a:r>
          <a:endParaRPr lang="el-GR" sz="1100" b="1">
            <a:solidFill>
              <a:schemeClr val="dk1"/>
            </a:solidFill>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GB" sz="1100">
              <a:solidFill>
                <a:schemeClr val="dk1"/>
              </a:solidFill>
              <a:latin typeface="+mn-lt"/>
              <a:ea typeface="+mn-ea"/>
              <a:cs typeface="+mn-cs"/>
            </a:rPr>
            <a:t>The research leading to these results has received funding from the Intelligent Energy Europe Programme of the European Union under grant agreement </a:t>
          </a:r>
          <a:r>
            <a:rPr lang="en-US" sz="1100">
              <a:solidFill>
                <a:schemeClr val="dk1"/>
              </a:solidFill>
              <a:latin typeface="+mn-lt"/>
              <a:ea typeface="+mn-ea"/>
              <a:cs typeface="+mn-cs"/>
            </a:rPr>
            <a:t>IEE/13/906/SI2.675068. </a:t>
          </a:r>
          <a:endParaRPr lang="en-US" sz="1100" i="1" baseline="0">
            <a:solidFill>
              <a:schemeClr val="dk1"/>
            </a:solidFill>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endParaRPr lang="el-GR" sz="1100">
            <a:solidFill>
              <a:schemeClr val="dk1"/>
            </a:solidFill>
            <a:latin typeface="+mn-lt"/>
            <a:ea typeface="+mn-ea"/>
            <a:cs typeface="+mn-cs"/>
          </a:endParaRPr>
        </a:p>
      </xdr:txBody>
    </xdr:sp>
    <xdr:clientData/>
  </xdr:twoCellAnchor>
  <xdr:twoCellAnchor editAs="oneCell">
    <xdr:from>
      <xdr:col>8</xdr:col>
      <xdr:colOff>19050</xdr:colOff>
      <xdr:row>2</xdr:row>
      <xdr:rowOff>0</xdr:rowOff>
    </xdr:from>
    <xdr:to>
      <xdr:col>8</xdr:col>
      <xdr:colOff>762000</xdr:colOff>
      <xdr:row>6</xdr:row>
      <xdr:rowOff>221</xdr:rowOff>
    </xdr:to>
    <xdr:pic>
      <xdr:nvPicPr>
        <xdr:cNvPr id="4" name="Picture 2" descr="CERtuS">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4895850" y="323850"/>
          <a:ext cx="742950" cy="647921"/>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9524</xdr:rowOff>
    </xdr:from>
    <xdr:to>
      <xdr:col>5</xdr:col>
      <xdr:colOff>232800</xdr:colOff>
      <xdr:row>5</xdr:row>
      <xdr:rowOff>80966</xdr:rowOff>
    </xdr:to>
    <xdr:pic>
      <xdr:nvPicPr>
        <xdr:cNvPr id="2049" name="Immagine 4" descr="Descrizione: supportedby"/>
        <xdr:cNvPicPr>
          <a:picLocks noChangeAspect="1" noChangeArrowheads="1"/>
        </xdr:cNvPicPr>
      </xdr:nvPicPr>
      <xdr:blipFill>
        <a:blip xmlns:r="http://schemas.openxmlformats.org/officeDocument/2006/relationships" r:embed="rId1"/>
        <a:srcRect/>
        <a:stretch>
          <a:fillRect/>
        </a:stretch>
      </xdr:blipFill>
      <xdr:spPr bwMode="auto">
        <a:xfrm>
          <a:off x="609600" y="342899"/>
          <a:ext cx="2671200" cy="557217"/>
        </a:xfrm>
        <a:prstGeom prst="rect">
          <a:avLst/>
        </a:prstGeom>
        <a:noFill/>
        <a:ln w="9525">
          <a:noFill/>
          <a:miter lim="800000"/>
          <a:headEnd/>
          <a:tailEnd/>
        </a:ln>
      </xdr:spPr>
    </xdr:pic>
    <xdr:clientData/>
  </xdr:twoCellAnchor>
  <xdr:twoCellAnchor>
    <xdr:from>
      <xdr:col>0</xdr:col>
      <xdr:colOff>581026</xdr:colOff>
      <xdr:row>50</xdr:row>
      <xdr:rowOff>123825</xdr:rowOff>
    </xdr:from>
    <xdr:to>
      <xdr:col>9</xdr:col>
      <xdr:colOff>28575</xdr:colOff>
      <xdr:row>60</xdr:row>
      <xdr:rowOff>142875</xdr:rowOff>
    </xdr:to>
    <xdr:sp macro="" textlink="">
      <xdr:nvSpPr>
        <xdr:cNvPr id="4" name="TextBox 3"/>
        <xdr:cNvSpPr txBox="1"/>
      </xdr:nvSpPr>
      <xdr:spPr>
        <a:xfrm>
          <a:off x="581026" y="8362950"/>
          <a:ext cx="5114924"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1100" b="1">
              <a:solidFill>
                <a:schemeClr val="dk1"/>
              </a:solidFill>
              <a:latin typeface="+mn-lt"/>
              <a:ea typeface="+mn-ea"/>
              <a:cs typeface="+mn-cs"/>
            </a:rPr>
            <a:t>Disclaimer</a:t>
          </a:r>
          <a:endParaRPr lang="el-GR" sz="1100">
            <a:solidFill>
              <a:schemeClr val="dk1"/>
            </a:solidFill>
            <a:latin typeface="+mn-lt"/>
            <a:ea typeface="+mn-ea"/>
            <a:cs typeface="+mn-cs"/>
          </a:endParaRPr>
        </a:p>
        <a:p>
          <a:pPr algn="just"/>
          <a:r>
            <a:rPr lang="en-US" sz="1100" i="1">
              <a:solidFill>
                <a:schemeClr val="dk1"/>
              </a:solidFill>
              <a:latin typeface="+mn-lt"/>
              <a:ea typeface="+mn-ea"/>
              <a:cs typeface="+mn-cs"/>
            </a:rPr>
            <a:t>The sole responsibility for the content of this publication lies with the authors. It does not necessarily reflect the opinion of the European Union. Neither the EASME nor the European Commission are responsible for any use that may be made of the information contained therein.</a:t>
          </a:r>
        </a:p>
        <a:p>
          <a:pPr marL="0" marR="0" indent="0" algn="just"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The tool</a:t>
          </a:r>
          <a:r>
            <a:rPr lang="en-US" sz="1100" i="1" baseline="0">
              <a:solidFill>
                <a:schemeClr val="dk1"/>
              </a:solidFill>
              <a:latin typeface="+mn-lt"/>
              <a:ea typeface="+mn-ea"/>
              <a:cs typeface="+mn-cs"/>
            </a:rPr>
            <a:t> may contain assumptions, bugs and miscalculations and therefore it has to be assumed that provides indicative results. </a:t>
          </a:r>
        </a:p>
        <a:p>
          <a:pPr marL="0" marR="0" indent="0" algn="just"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The authors are not responsible for any issues arise</a:t>
          </a:r>
          <a:r>
            <a:rPr lang="en-US" sz="1100" i="1" baseline="0">
              <a:solidFill>
                <a:schemeClr val="dk1"/>
              </a:solidFill>
              <a:latin typeface="+mn-lt"/>
              <a:ea typeface="+mn-ea"/>
              <a:cs typeface="+mn-cs"/>
            </a:rPr>
            <a:t> from the use of the tool and  the results do not  reflect any investment proposal. </a:t>
          </a:r>
        </a:p>
      </xdr:txBody>
    </xdr:sp>
    <xdr:clientData/>
  </xdr:twoCellAnchor>
  <xdr:twoCellAnchor editAs="oneCell">
    <xdr:from>
      <xdr:col>8</xdr:col>
      <xdr:colOff>19050</xdr:colOff>
      <xdr:row>2</xdr:row>
      <xdr:rowOff>0</xdr:rowOff>
    </xdr:from>
    <xdr:to>
      <xdr:col>8</xdr:col>
      <xdr:colOff>762000</xdr:colOff>
      <xdr:row>6</xdr:row>
      <xdr:rowOff>221</xdr:rowOff>
    </xdr:to>
    <xdr:pic>
      <xdr:nvPicPr>
        <xdr:cNvPr id="5" name="Picture 2" descr="CERtuS">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4895850" y="333375"/>
          <a:ext cx="742950" cy="647921"/>
        </a:xfrm>
        <a:prstGeom prst="rect">
          <a:avLst/>
        </a:prstGeom>
        <a:noFill/>
      </xdr:spPr>
    </xdr:pic>
    <xdr:clientData/>
  </xdr:twoCellAnchor>
  <xdr:twoCellAnchor editAs="oneCell">
    <xdr:from>
      <xdr:col>0</xdr:col>
      <xdr:colOff>600075</xdr:colOff>
      <xdr:row>7</xdr:row>
      <xdr:rowOff>190500</xdr:rowOff>
    </xdr:from>
    <xdr:to>
      <xdr:col>9</xdr:col>
      <xdr:colOff>50800</xdr:colOff>
      <xdr:row>49</xdr:row>
      <xdr:rowOff>29845</xdr:rowOff>
    </xdr:to>
    <xdr:pic>
      <xdr:nvPicPr>
        <xdr:cNvPr id="7" name="Immagine 7" descr="C:\Users\Poggi\Desktop\oo.png"/>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600075" y="1323975"/>
          <a:ext cx="5118100" cy="67830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726948</xdr:colOff>
      <xdr:row>5</xdr:row>
      <xdr:rowOff>62865</xdr:rowOff>
    </xdr:to>
    <xdr:pic>
      <xdr:nvPicPr>
        <xdr:cNvPr id="2" name="Immagine 4" descr="Descrizione: supportedby"/>
        <xdr:cNvPicPr>
          <a:picLocks noChangeAspect="1" noChangeArrowheads="1"/>
        </xdr:cNvPicPr>
      </xdr:nvPicPr>
      <xdr:blipFill>
        <a:blip xmlns:r="http://schemas.openxmlformats.org/officeDocument/2006/relationships" r:embed="rId1"/>
        <a:stretch>
          <a:fillRect/>
        </a:stretch>
      </xdr:blipFill>
      <xdr:spPr bwMode="auto">
        <a:xfrm>
          <a:off x="609600" y="323850"/>
          <a:ext cx="2670048" cy="548640"/>
        </a:xfrm>
        <a:prstGeom prst="rect">
          <a:avLst/>
        </a:prstGeom>
        <a:noFill/>
        <a:ln w="9525">
          <a:noFill/>
          <a:miter lim="800000"/>
          <a:headEnd/>
          <a:tailEnd/>
        </a:ln>
      </xdr:spPr>
    </xdr:pic>
    <xdr:clientData/>
  </xdr:twoCellAnchor>
  <xdr:twoCellAnchor editAs="oneCell">
    <xdr:from>
      <xdr:col>3</xdr:col>
      <xdr:colOff>3048000</xdr:colOff>
      <xdr:row>2</xdr:row>
      <xdr:rowOff>0</xdr:rowOff>
    </xdr:from>
    <xdr:to>
      <xdr:col>3</xdr:col>
      <xdr:colOff>3790950</xdr:colOff>
      <xdr:row>6</xdr:row>
      <xdr:rowOff>221</xdr:rowOff>
    </xdr:to>
    <xdr:pic>
      <xdr:nvPicPr>
        <xdr:cNvPr id="4" name="Picture 2" descr="CERtuS">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333375"/>
          <a:ext cx="742950" cy="64792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609599</xdr:colOff>
      <xdr:row>2</xdr:row>
      <xdr:rowOff>1</xdr:rowOff>
    </xdr:from>
    <xdr:to>
      <xdr:col>2</xdr:col>
      <xdr:colOff>918599</xdr:colOff>
      <xdr:row>5</xdr:row>
      <xdr:rowOff>54089</xdr:rowOff>
    </xdr:to>
    <xdr:pic>
      <xdr:nvPicPr>
        <xdr:cNvPr id="2" name="Immagine 4" descr="Descrizione: supportedby"/>
        <xdr:cNvPicPr>
          <a:picLocks noChangeAspect="1" noChangeArrowheads="1"/>
        </xdr:cNvPicPr>
      </xdr:nvPicPr>
      <xdr:blipFill>
        <a:blip xmlns:r="http://schemas.openxmlformats.org/officeDocument/2006/relationships" r:embed="rId1"/>
        <a:stretch>
          <a:fillRect/>
        </a:stretch>
      </xdr:blipFill>
      <xdr:spPr bwMode="auto">
        <a:xfrm>
          <a:off x="609599" y="323851"/>
          <a:ext cx="2671200" cy="539863"/>
        </a:xfrm>
        <a:prstGeom prst="rect">
          <a:avLst/>
        </a:prstGeom>
        <a:noFill/>
        <a:ln w="9525">
          <a:noFill/>
          <a:miter lim="800000"/>
          <a:headEnd/>
          <a:tailEnd/>
        </a:ln>
      </xdr:spPr>
    </xdr:pic>
    <xdr:clientData/>
  </xdr:twoCellAnchor>
  <xdr:twoCellAnchor editAs="oneCell">
    <xdr:from>
      <xdr:col>2</xdr:col>
      <xdr:colOff>3019426</xdr:colOff>
      <xdr:row>2</xdr:row>
      <xdr:rowOff>0</xdr:rowOff>
    </xdr:from>
    <xdr:to>
      <xdr:col>2</xdr:col>
      <xdr:colOff>3762376</xdr:colOff>
      <xdr:row>6</xdr:row>
      <xdr:rowOff>221</xdr:rowOff>
    </xdr:to>
    <xdr:pic>
      <xdr:nvPicPr>
        <xdr:cNvPr id="4098" name="Picture 2" descr="CERtuS">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381626" y="333375"/>
          <a:ext cx="742950" cy="64792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9524</xdr:rowOff>
    </xdr:from>
    <xdr:to>
      <xdr:col>5</xdr:col>
      <xdr:colOff>232800</xdr:colOff>
      <xdr:row>5</xdr:row>
      <xdr:rowOff>80966</xdr:rowOff>
    </xdr:to>
    <xdr:pic>
      <xdr:nvPicPr>
        <xdr:cNvPr id="2" name="Immagine 4" descr="Descrizione: supportedby"/>
        <xdr:cNvPicPr>
          <a:picLocks noChangeAspect="1" noChangeArrowheads="1"/>
        </xdr:cNvPicPr>
      </xdr:nvPicPr>
      <xdr:blipFill>
        <a:blip xmlns:r="http://schemas.openxmlformats.org/officeDocument/2006/relationships" r:embed="rId1"/>
        <a:srcRect/>
        <a:stretch>
          <a:fillRect/>
        </a:stretch>
      </xdr:blipFill>
      <xdr:spPr bwMode="auto">
        <a:xfrm>
          <a:off x="609600" y="333374"/>
          <a:ext cx="2671200" cy="557217"/>
        </a:xfrm>
        <a:prstGeom prst="rect">
          <a:avLst/>
        </a:prstGeom>
        <a:noFill/>
        <a:ln w="9525">
          <a:noFill/>
          <a:miter lim="800000"/>
          <a:headEnd/>
          <a:tailEnd/>
        </a:ln>
      </xdr:spPr>
    </xdr:pic>
    <xdr:clientData/>
  </xdr:twoCellAnchor>
  <xdr:twoCellAnchor>
    <xdr:from>
      <xdr:col>1</xdr:col>
      <xdr:colOff>1</xdr:colOff>
      <xdr:row>11</xdr:row>
      <xdr:rowOff>104775</xdr:rowOff>
    </xdr:from>
    <xdr:to>
      <xdr:col>8</xdr:col>
      <xdr:colOff>781050</xdr:colOff>
      <xdr:row>16</xdr:row>
      <xdr:rowOff>66675</xdr:rowOff>
    </xdr:to>
    <xdr:sp macro="" textlink="">
      <xdr:nvSpPr>
        <xdr:cNvPr id="3" name="TextBox 2"/>
        <xdr:cNvSpPr txBox="1"/>
      </xdr:nvSpPr>
      <xdr:spPr>
        <a:xfrm>
          <a:off x="609601" y="2028825"/>
          <a:ext cx="5048249"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chemeClr val="dk1"/>
              </a:solidFill>
              <a:latin typeface="+mn-lt"/>
              <a:ea typeface="+mn-ea"/>
              <a:cs typeface="+mn-cs"/>
            </a:rPr>
            <a:t>Statement of originality</a:t>
          </a:r>
          <a:endParaRPr lang="el-GR" sz="1100">
            <a:solidFill>
              <a:schemeClr val="dk1"/>
            </a:solidFill>
            <a:latin typeface="+mn-lt"/>
            <a:ea typeface="+mn-ea"/>
            <a:cs typeface="+mn-cs"/>
          </a:endParaRPr>
        </a:p>
        <a:p>
          <a:pPr algn="just"/>
          <a:r>
            <a:rPr lang="en-US" sz="1100">
              <a:solidFill>
                <a:schemeClr val="dk1"/>
              </a:solidFill>
              <a:latin typeface="+mn-lt"/>
              <a:ea typeface="+mn-ea"/>
              <a:cs typeface="+mn-cs"/>
            </a:rPr>
            <a:t>This report contains original unpublished work except where clearly indicated otherwise. Acknowledgement of previously published material and of the work of others has been made through appropriate citation, quotation or both.</a:t>
          </a:r>
          <a:endParaRPr lang="el-GR" sz="1100">
            <a:solidFill>
              <a:schemeClr val="dk1"/>
            </a:solidFill>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endParaRPr lang="en-US" sz="1100" i="1" baseline="0">
            <a:solidFill>
              <a:schemeClr val="dk1"/>
            </a:solidFill>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endParaRPr lang="el-GR" sz="1100">
            <a:solidFill>
              <a:schemeClr val="dk1"/>
            </a:solidFill>
            <a:latin typeface="+mn-lt"/>
            <a:ea typeface="+mn-ea"/>
            <a:cs typeface="+mn-cs"/>
          </a:endParaRPr>
        </a:p>
      </xdr:txBody>
    </xdr:sp>
    <xdr:clientData/>
  </xdr:twoCellAnchor>
  <xdr:twoCellAnchor editAs="oneCell">
    <xdr:from>
      <xdr:col>8</xdr:col>
      <xdr:colOff>19050</xdr:colOff>
      <xdr:row>2</xdr:row>
      <xdr:rowOff>0</xdr:rowOff>
    </xdr:from>
    <xdr:to>
      <xdr:col>8</xdr:col>
      <xdr:colOff>762000</xdr:colOff>
      <xdr:row>6</xdr:row>
      <xdr:rowOff>221</xdr:rowOff>
    </xdr:to>
    <xdr:pic>
      <xdr:nvPicPr>
        <xdr:cNvPr id="4" name="Picture 2" descr="CERtuS">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4895850" y="323850"/>
          <a:ext cx="742950" cy="64792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385200</xdr:colOff>
      <xdr:row>5</xdr:row>
      <xdr:rowOff>635</xdr:rowOff>
    </xdr:to>
    <xdr:pic>
      <xdr:nvPicPr>
        <xdr:cNvPr id="2" name="Immagine 4" descr="Descrizione: supportedby"/>
        <xdr:cNvPicPr>
          <a:picLocks noChangeAspect="1" noChangeArrowheads="1"/>
        </xdr:cNvPicPr>
      </xdr:nvPicPr>
      <xdr:blipFill>
        <a:blip xmlns:r="http://schemas.openxmlformats.org/officeDocument/2006/relationships" r:embed="rId1"/>
        <a:stretch>
          <a:fillRect/>
        </a:stretch>
      </xdr:blipFill>
      <xdr:spPr bwMode="auto">
        <a:xfrm>
          <a:off x="609600" y="323850"/>
          <a:ext cx="2671200" cy="486410"/>
        </a:xfrm>
        <a:prstGeom prst="rect">
          <a:avLst/>
        </a:prstGeom>
        <a:noFill/>
        <a:ln w="9525">
          <a:noFill/>
          <a:miter lim="800000"/>
          <a:headEnd/>
          <a:tailEnd/>
        </a:ln>
      </xdr:spPr>
    </xdr:pic>
    <xdr:clientData/>
  </xdr:twoCellAnchor>
  <xdr:twoCellAnchor editAs="oneCell">
    <xdr:from>
      <xdr:col>2</xdr:col>
      <xdr:colOff>2228850</xdr:colOff>
      <xdr:row>2</xdr:row>
      <xdr:rowOff>0</xdr:rowOff>
    </xdr:from>
    <xdr:to>
      <xdr:col>3</xdr:col>
      <xdr:colOff>28575</xdr:colOff>
      <xdr:row>6</xdr:row>
      <xdr:rowOff>221</xdr:rowOff>
    </xdr:to>
    <xdr:pic>
      <xdr:nvPicPr>
        <xdr:cNvPr id="4" name="Picture 2" descr="CERtuS">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124450" y="333375"/>
          <a:ext cx="742950" cy="64792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47624</xdr:colOff>
      <xdr:row>4</xdr:row>
      <xdr:rowOff>161923</xdr:rowOff>
    </xdr:from>
    <xdr:to>
      <xdr:col>9</xdr:col>
      <xdr:colOff>771525</xdr:colOff>
      <xdr:row>40</xdr:row>
      <xdr:rowOff>95250</xdr:rowOff>
    </xdr:to>
    <xdr:sp macro="" textlink="">
      <xdr:nvSpPr>
        <xdr:cNvPr id="2" name="TextBox 1"/>
        <xdr:cNvSpPr txBox="1"/>
      </xdr:nvSpPr>
      <xdr:spPr>
        <a:xfrm>
          <a:off x="47624" y="885823"/>
          <a:ext cx="6286501" cy="5762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300" b="1" cap="all" baseline="0">
              <a:solidFill>
                <a:schemeClr val="dk1"/>
              </a:solidFill>
              <a:latin typeface="+mn-lt"/>
              <a:ea typeface="+mn-ea"/>
              <a:cs typeface="+mn-cs"/>
            </a:rPr>
            <a:t>The CERTUS PROJECT in brief</a:t>
          </a:r>
          <a:endParaRPr lang="el-GR" sz="1300" cap="all" baseline="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pPr algn="just"/>
          <a:r>
            <a:rPr lang="en-US" sz="1100">
              <a:solidFill>
                <a:schemeClr val="dk1"/>
              </a:solidFill>
              <a:latin typeface="+mn-lt"/>
              <a:ea typeface="+mn-ea"/>
              <a:cs typeface="+mn-cs"/>
            </a:rPr>
            <a:t>South European countries are undergoing a severe economic crisis. This hinders the compliance to the latest Energy Efficiency Directive, thus demanding strict energy efficiency measures for the public sector. Investments required to renovate public buildings and achieve nearly zero energy consumption have long payback times. Many of the municipal buildings in Southern Europe require deep renovations to become nZEB and this should not be regarded as a threat but rather as an opportunity for the energy service and the financing sector. </a:t>
          </a:r>
          <a:endParaRPr lang="el-GR" sz="1100">
            <a:solidFill>
              <a:schemeClr val="dk1"/>
            </a:solidFill>
            <a:latin typeface="+mn-lt"/>
            <a:ea typeface="+mn-ea"/>
            <a:cs typeface="+mn-cs"/>
          </a:endParaRP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The objective of the proposed action is to help stakeholders in gaining confidence in such investments and initiate the growth of the energy service sector considered.</a:t>
          </a:r>
          <a:endParaRPr lang="el-GR" sz="1100">
            <a:solidFill>
              <a:schemeClr val="dk1"/>
            </a:solidFill>
            <a:latin typeface="+mn-lt"/>
            <a:ea typeface="+mn-ea"/>
            <a:cs typeface="+mn-cs"/>
          </a:endParaRP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Municipalities, energy service companies and financing entities in Italy, Greece, Spain and Portugal are involved in this project. The plan is to produce representative deep renovation projects that will act as models for replication. Twelve buildings in four municipalities in each country have been selected. The partners will adapt existing energy service models and procedures and will work out financing schemes suitable for the 12 projects. Consequently, the partners will create materials, such as guides and maxi brochures, suitable to support an intensive communication plan.</a:t>
          </a:r>
          <a:endParaRPr lang="el-GR" sz="1100">
            <a:solidFill>
              <a:schemeClr val="dk1"/>
            </a:solidFill>
            <a:latin typeface="+mn-lt"/>
            <a:ea typeface="+mn-ea"/>
            <a:cs typeface="+mn-cs"/>
          </a:endParaRP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The plan includes four workshops with B2B sessions targeted to municipalities, ESCOs and financing entities. These actions shall be complemented by four training activities targeting municipal employees and the participation in international events targeting all three stakeholders. We expect that our action will have a significant impact by triggering investments in renovations to achieve nZEB and to improve the uptake of the ESCO market in Southern European member states. </a:t>
          </a: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For the needs of CERTus</a:t>
          </a:r>
          <a:r>
            <a:rPr lang="en-US" sz="1100" baseline="0">
              <a:solidFill>
                <a:schemeClr val="dk1"/>
              </a:solidFill>
              <a:latin typeface="+mn-lt"/>
              <a:ea typeface="+mn-ea"/>
              <a:cs typeface="+mn-cs"/>
            </a:rPr>
            <a:t> Project </a:t>
          </a:r>
          <a:r>
            <a:rPr lang="en-US" sz="1100" strike="noStrike" baseline="0">
              <a:solidFill>
                <a:sysClr val="windowText" lastClr="000000"/>
              </a:solidFill>
              <a:latin typeface="+mn-lt"/>
              <a:ea typeface="+mn-ea"/>
              <a:cs typeface="+mn-cs"/>
            </a:rPr>
            <a:t>Work Package 2 (entitled: Technical and Economic Validation of the nZEB Renovation Schemes) of the CERtuS Project </a:t>
          </a:r>
          <a:r>
            <a:rPr lang="en-US" sz="1100">
              <a:solidFill>
                <a:schemeClr val="dk1"/>
              </a:solidFill>
              <a:latin typeface="+mn-lt"/>
              <a:ea typeface="+mn-ea"/>
              <a:cs typeface="+mn-cs"/>
            </a:rPr>
            <a:t>has been developed CERtuS SE²T, a simplified calculation tool that provides a first approach to evaluate </a:t>
          </a:r>
          <a:r>
            <a:rPr lang="en-US" sz="1100" baseline="0">
              <a:solidFill>
                <a:schemeClr val="dk1"/>
              </a:solidFill>
              <a:latin typeface="+mn-lt"/>
              <a:ea typeface="+mn-ea"/>
              <a:cs typeface="+mn-cs"/>
            </a:rPr>
            <a:t> </a:t>
          </a:r>
          <a:r>
            <a:rPr lang="en-US" sz="1100">
              <a:solidFill>
                <a:schemeClr val="dk1"/>
              </a:solidFill>
              <a:latin typeface="+mn-lt"/>
              <a:ea typeface="+mn-ea"/>
              <a:cs typeface="+mn-cs"/>
            </a:rPr>
            <a:t>buildings’ deep energy retrofitting project planning.  </a:t>
          </a:r>
        </a:p>
        <a:p>
          <a:pPr algn="just"/>
          <a:endParaRPr lang="en-US" sz="1100">
            <a:solidFill>
              <a:schemeClr val="dk1"/>
            </a:solidFill>
            <a:latin typeface="+mn-lt"/>
            <a:ea typeface="+mn-ea"/>
            <a:cs typeface="+mn-cs"/>
          </a:endParaRPr>
        </a:p>
        <a:p>
          <a:pPr algn="just"/>
          <a:r>
            <a:rPr lang="en-US" sz="1200" b="0">
              <a:solidFill>
                <a:sysClr val="windowText" lastClr="000000"/>
              </a:solidFill>
              <a:latin typeface="+mn-lt"/>
              <a:ea typeface="+mn-ea"/>
              <a:cs typeface="+mn-cs"/>
            </a:rPr>
            <a:t>For the needs CERtuS Project and in particular</a:t>
          </a:r>
          <a:r>
            <a:rPr lang="en-US" sz="1200" b="0" baseline="0">
              <a:solidFill>
                <a:sysClr val="windowText" lastClr="000000"/>
              </a:solidFill>
              <a:latin typeface="+mn-lt"/>
              <a:ea typeface="+mn-ea"/>
              <a:cs typeface="+mn-cs"/>
            </a:rPr>
            <a:t> for Work Package 2, Task 2.5 </a:t>
          </a:r>
          <a:r>
            <a:rPr lang="en-US" sz="1200" b="0">
              <a:solidFill>
                <a:sysClr val="windowText" lastClr="000000"/>
              </a:solidFill>
              <a:latin typeface="+mn-lt"/>
              <a:ea typeface="+mn-ea"/>
              <a:cs typeface="+mn-cs"/>
            </a:rPr>
            <a:t>has been used by Partners a detailed a approach,</a:t>
          </a:r>
          <a:r>
            <a:rPr lang="en-US" sz="1200" b="0" baseline="0">
              <a:solidFill>
                <a:sysClr val="windowText" lastClr="000000"/>
              </a:solidFill>
              <a:latin typeface="+mn-lt"/>
              <a:ea typeface="+mn-ea"/>
              <a:cs typeface="+mn-cs"/>
            </a:rPr>
            <a:t> methodology and internal instruments </a:t>
          </a:r>
          <a:r>
            <a:rPr lang="en-US" sz="1200" b="0">
              <a:solidFill>
                <a:sysClr val="windowText" lastClr="000000"/>
              </a:solidFill>
              <a:latin typeface="+mn-lt"/>
              <a:ea typeface="+mn-ea"/>
              <a:cs typeface="+mn-cs"/>
            </a:rPr>
            <a:t>for the economic evaluation of the twelve CERtuS projects and not the specific tool. </a:t>
          </a:r>
        </a:p>
      </xdr:txBody>
    </xdr:sp>
    <xdr:clientData/>
  </xdr:twoCellAnchor>
  <xdr:twoCellAnchor editAs="oneCell">
    <xdr:from>
      <xdr:col>0</xdr:col>
      <xdr:colOff>0</xdr:colOff>
      <xdr:row>0</xdr:row>
      <xdr:rowOff>0</xdr:rowOff>
    </xdr:from>
    <xdr:to>
      <xdr:col>5</xdr:col>
      <xdr:colOff>114300</xdr:colOff>
      <xdr:row>3</xdr:row>
      <xdr:rowOff>171450</xdr:rowOff>
    </xdr:to>
    <xdr:pic>
      <xdr:nvPicPr>
        <xdr:cNvPr id="3" name="Picture 2">
          <a:hlinkClick xmlns:r="http://schemas.openxmlformats.org/officeDocument/2006/relationships" r:id="rId1"/>
        </xdr:cNvPr>
        <xdr:cNvPicPr>
          <a:picLocks noChangeAspect="1" noChangeArrowheads="1"/>
        </xdr:cNvPicPr>
      </xdr:nvPicPr>
      <xdr:blipFill rotWithShape="1">
        <a:blip xmlns:r="http://schemas.openxmlformats.org/officeDocument/2006/relationships" r:embed="rId2">
          <a:clrChange>
            <a:clrFrom>
              <a:srgbClr val="FFFFFF"/>
            </a:clrFrom>
            <a:clrTo>
              <a:srgbClr val="FFFFFF">
                <a:alpha val="0"/>
              </a:srgbClr>
            </a:clrTo>
          </a:clrChange>
        </a:blip>
        <a:srcRect l="28320" t="10157" r="23730" b="75401"/>
        <a:stretch/>
      </xdr:blipFill>
      <xdr:spPr bwMode="auto">
        <a:xfrm>
          <a:off x="0" y="0"/>
          <a:ext cx="3162300" cy="714375"/>
        </a:xfrm>
        <a:prstGeom prst="rect">
          <a:avLst/>
        </a:prstGeom>
        <a:noFill/>
        <a:ln w="1">
          <a:noFill/>
          <a:miter lim="800000"/>
          <a:headEnd/>
          <a:tailEnd type="none" w="med" len="med"/>
        </a:ln>
        <a:effectLst/>
      </xdr:spPr>
    </xdr:pic>
    <xdr:clientData/>
  </xdr:twoCellAnchor>
  <xdr:twoCellAnchor>
    <xdr:from>
      <xdr:col>6</xdr:col>
      <xdr:colOff>0</xdr:colOff>
      <xdr:row>0</xdr:row>
      <xdr:rowOff>104775</xdr:rowOff>
    </xdr:from>
    <xdr:to>
      <xdr:col>9</xdr:col>
      <xdr:colOff>772690</xdr:colOff>
      <xdr:row>3</xdr:row>
      <xdr:rowOff>66674</xdr:rowOff>
    </xdr:to>
    <xdr:pic>
      <xdr:nvPicPr>
        <xdr:cNvPr id="4" name="Immagine 4" descr="Descrizione: supportedby"/>
        <xdr:cNvPicPr>
          <a:picLocks noChangeAspect="1" noChangeArrowheads="1"/>
        </xdr:cNvPicPr>
      </xdr:nvPicPr>
      <xdr:blipFill>
        <a:blip xmlns:r="http://schemas.openxmlformats.org/officeDocument/2006/relationships" r:embed="rId3"/>
        <a:srcRect/>
        <a:stretch>
          <a:fillRect/>
        </a:stretch>
      </xdr:blipFill>
      <xdr:spPr bwMode="auto">
        <a:xfrm>
          <a:off x="3733800" y="104775"/>
          <a:ext cx="2601490" cy="50482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28576</xdr:colOff>
      <xdr:row>5</xdr:row>
      <xdr:rowOff>9523</xdr:rowOff>
    </xdr:from>
    <xdr:to>
      <xdr:col>9</xdr:col>
      <xdr:colOff>619126</xdr:colOff>
      <xdr:row>45</xdr:row>
      <xdr:rowOff>47625</xdr:rowOff>
    </xdr:to>
    <xdr:sp macro="" textlink="">
      <xdr:nvSpPr>
        <xdr:cNvPr id="3" name="TextBox 2"/>
        <xdr:cNvSpPr txBox="1"/>
      </xdr:nvSpPr>
      <xdr:spPr>
        <a:xfrm>
          <a:off x="28576" y="895348"/>
          <a:ext cx="6229350" cy="651510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300" b="1" cap="all" baseline="0">
              <a:solidFill>
                <a:schemeClr val="dk1"/>
              </a:solidFill>
              <a:latin typeface="+mn-lt"/>
              <a:ea typeface="+mn-ea"/>
              <a:cs typeface="+mn-cs"/>
            </a:rPr>
            <a:t>The simplified economic evaluation tool</a:t>
          </a:r>
          <a:endParaRPr lang="el-GR" sz="1300" cap="all" baseline="0">
            <a:solidFill>
              <a:schemeClr val="dk1"/>
            </a:solidFill>
            <a:latin typeface="+mn-lt"/>
            <a:ea typeface="+mn-ea"/>
            <a:cs typeface="+mn-cs"/>
          </a:endParaRPr>
        </a:p>
        <a:p>
          <a:r>
            <a:rPr lang="en-US" sz="1100">
              <a:solidFill>
                <a:schemeClr val="dk1"/>
              </a:solidFill>
              <a:latin typeface="+mn-lt"/>
              <a:ea typeface="+mn-ea"/>
              <a:cs typeface="+mn-cs"/>
            </a:rPr>
            <a:t> </a:t>
          </a:r>
        </a:p>
        <a:p>
          <a:pPr algn="just"/>
          <a:r>
            <a:rPr lang="en-US" sz="1100">
              <a:solidFill>
                <a:schemeClr val="dk1"/>
              </a:solidFill>
              <a:effectLst/>
              <a:latin typeface="+mn-lt"/>
              <a:ea typeface="+mn-ea"/>
              <a:cs typeface="+mn-cs"/>
            </a:rPr>
            <a:t>As long as municipalities or any other building owner has an estimation of building’s cost and expenses needed for an energy retrofitting, then the next step is to make estimations of the expected payback period and the desired or/and the optimum financial structure. </a:t>
          </a:r>
        </a:p>
        <a:p>
          <a:pPr algn="just"/>
          <a:endParaRPr lang="en-US" sz="1100">
            <a:solidFill>
              <a:schemeClr val="dk1"/>
            </a:solidFill>
            <a:effectLst/>
            <a:latin typeface="+mn-lt"/>
            <a:ea typeface="+mn-ea"/>
            <a:cs typeface="+mn-cs"/>
          </a:endParaRPr>
        </a:p>
        <a:p>
          <a:pPr algn="just"/>
          <a:r>
            <a:rPr lang="en-US" sz="1100" b="1">
              <a:solidFill>
                <a:schemeClr val="dk1"/>
              </a:solidFill>
              <a:latin typeface="+mn-lt"/>
              <a:ea typeface="+mn-ea"/>
              <a:cs typeface="+mn-cs"/>
            </a:rPr>
            <a:t>Under the term financial structure are included mainly the appropriate financial tools and type of investors that could be used to finance the building renovation project. </a:t>
          </a: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The information of the optimum</a:t>
          </a:r>
          <a:r>
            <a:rPr lang="en-US" sz="1100" baseline="0">
              <a:solidFill>
                <a:schemeClr val="dk1"/>
              </a:solidFill>
              <a:effectLst/>
              <a:latin typeface="+mn-lt"/>
              <a:ea typeface="+mn-ea"/>
              <a:cs typeface="+mn-cs"/>
            </a:rPr>
            <a:t> or even an appropiate financiial structure </a:t>
          </a:r>
          <a:r>
            <a:rPr lang="en-US" sz="1100">
              <a:solidFill>
                <a:schemeClr val="dk1"/>
              </a:solidFill>
              <a:effectLst/>
              <a:latin typeface="+mn-lt"/>
              <a:ea typeface="+mn-ea"/>
              <a:cs typeface="+mn-cs"/>
            </a:rPr>
            <a:t> is a crucial information for the building owner in order to know the kind of investors he/she has to be addressed or the types money sources have to be used for financing the energy retrofitting project. Also, SE²T could be used in the early stages of building renovation projects, in order to </a:t>
          </a:r>
          <a:r>
            <a:rPr lang="en-US" sz="1100">
              <a:solidFill>
                <a:sysClr val="windowText" lastClr="000000"/>
              </a:solidFill>
              <a:effectLst/>
              <a:latin typeface="+mn-lt"/>
              <a:ea typeface="+mn-ea"/>
              <a:cs typeface="+mn-cs"/>
            </a:rPr>
            <a:t>evaluate </a:t>
          </a:r>
          <a:r>
            <a:rPr lang="en-US" sz="1100" baseline="0">
              <a:solidFill>
                <a:sysClr val="windowText" lastClr="000000"/>
              </a:solidFill>
              <a:effectLst/>
              <a:latin typeface="+mn-lt"/>
              <a:ea typeface="+mn-ea"/>
              <a:cs typeface="+mn-cs"/>
            </a:rPr>
            <a:t>if the project is financial sustainable. </a:t>
          </a:r>
          <a:endParaRPr lang="en-US" sz="1100" strike="sngStrike" baseline="0">
            <a:solidFill>
              <a:sysClr val="windowText" lastClr="000000"/>
            </a:solidFill>
            <a:effectLst/>
            <a:latin typeface="+mn-lt"/>
            <a:ea typeface="+mn-ea"/>
            <a:cs typeface="+mn-cs"/>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The Simplified Economic Evaluation Tool (CERtuS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SE²T) has been developed under the CERtuS</a:t>
          </a:r>
          <a:r>
            <a:rPr lang="en-US" sz="1100" baseline="0">
              <a:solidFill>
                <a:schemeClr val="dk1"/>
              </a:solidFill>
              <a:effectLst/>
              <a:latin typeface="+mn-lt"/>
              <a:ea typeface="+mn-ea"/>
              <a:cs typeface="+mn-cs"/>
            </a:rPr>
            <a:t> Project and </a:t>
          </a:r>
          <a:r>
            <a:rPr lang="en-US" sz="1100">
              <a:solidFill>
                <a:schemeClr val="dk1"/>
              </a:solidFill>
              <a:effectLst/>
              <a:latin typeface="+mn-lt"/>
              <a:ea typeface="+mn-ea"/>
              <a:cs typeface="+mn-cs"/>
            </a:rPr>
            <a:t>with the aspiration to become a friendly tool for municipalities or other building owners that wish to implement a deep energy retrofitting of their buildings, in order to become nZEB. </a:t>
          </a: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CERtuS SE²T is a great tool  for the preliminary stages of the project planning as it can adjust the  size of the expectation of the  building owners. Also, CERtuS SE²T ' results may be used as a starting point between the building owner and the in</a:t>
          </a:r>
          <a:r>
            <a:rPr lang="en-US" sz="1100">
              <a:solidFill>
                <a:sysClr val="windowText" lastClr="000000"/>
              </a:solidFill>
              <a:latin typeface="+mn-lt"/>
              <a:ea typeface="+mn-ea"/>
              <a:cs typeface="+mn-cs"/>
            </a:rPr>
            <a:t>vestors, as it is assumed that it gives useful and reliable information on</a:t>
          </a:r>
          <a:r>
            <a:rPr lang="en-US" sz="1100" baseline="0">
              <a:solidFill>
                <a:sysClr val="windowText" lastClr="000000"/>
              </a:solidFill>
              <a:latin typeface="+mn-lt"/>
              <a:ea typeface="+mn-ea"/>
              <a:cs typeface="+mn-cs"/>
            </a:rPr>
            <a:t> the expected simple paypack period of the project, the economic savigns and the cash flow .</a:t>
          </a:r>
          <a:endParaRPr lang="el-GR" sz="1100">
            <a:solidFill>
              <a:sysClr val="windowText" lastClr="000000"/>
            </a:solidFill>
            <a:latin typeface="+mn-lt"/>
            <a:ea typeface="+mn-ea"/>
            <a:cs typeface="+mn-cs"/>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Even CERtuS SE²T   is a simplified tool, it requires significant information as input. Concretely, the most important information is: the intervention costs, the maintenance expenses, the expected financial performance of the investors and loans interest rates. The last two information include the valuation of political, social, environmental, legislative technical and economic risks in accordance to national market </a:t>
          </a:r>
          <a:r>
            <a:rPr lang="en-US" sz="1100">
              <a:solidFill>
                <a:sysClr val="windowText" lastClr="000000"/>
              </a:solidFill>
              <a:effectLst/>
              <a:latin typeface="+mn-lt"/>
              <a:ea typeface="+mn-ea"/>
              <a:cs typeface="+mn-cs"/>
            </a:rPr>
            <a:t>facts.</a:t>
          </a:r>
          <a:r>
            <a:rPr lang="en-US" sz="1100" baseline="0">
              <a:solidFill>
                <a:sysClr val="windowText" lastClr="000000"/>
              </a:solidFill>
              <a:effectLst/>
              <a:latin typeface="+mn-lt"/>
              <a:ea typeface="+mn-ea"/>
              <a:cs typeface="+mn-cs"/>
            </a:rPr>
            <a:t> For this reason It is important to mentioned that </a:t>
          </a:r>
          <a:r>
            <a:rPr lang="en-US" sz="1100">
              <a:solidFill>
                <a:sysClr val="windowText" lastClr="000000"/>
              </a:solidFill>
              <a:latin typeface="+mn-lt"/>
              <a:ea typeface="+mn-ea"/>
              <a:cs typeface="+mn-cs"/>
            </a:rPr>
            <a:t>CERtuS SE²T, as a simplified tool</a:t>
          </a:r>
          <a:r>
            <a:rPr lang="en-US" sz="1100" baseline="0">
              <a:solidFill>
                <a:sysClr val="windowText" lastClr="000000"/>
              </a:solidFill>
              <a:latin typeface="+mn-lt"/>
              <a:ea typeface="+mn-ea"/>
              <a:cs typeface="+mn-cs"/>
            </a:rPr>
            <a:t> qnd it </a:t>
          </a:r>
          <a:r>
            <a:rPr lang="en-US" sz="1100">
              <a:solidFill>
                <a:sysClr val="windowText" lastClr="000000"/>
              </a:solidFill>
              <a:latin typeface="+mn-lt"/>
              <a:ea typeface="+mn-ea"/>
              <a:cs typeface="+mn-cs"/>
            </a:rPr>
            <a:t>has many limitations, as for example:  it doesn’t take into account the exact time that the VAT is debited or /and credited, or the actual costs and expenses of a specific ESCO. Therefore CERtuS SE²T doesn’t give appropriate information on projects</a:t>
          </a:r>
          <a:r>
            <a:rPr lang="en-US" sz="1100">
              <a:solidFill>
                <a:schemeClr val="dk1"/>
              </a:solidFill>
              <a:latin typeface="+mn-lt"/>
              <a:ea typeface="+mn-ea"/>
              <a:cs typeface="+mn-cs"/>
            </a:rPr>
            <a:t>’ cash flow and the needs for short term financing, such as the working capital.  </a:t>
          </a:r>
          <a:endParaRPr lang="el-GR" sz="1100">
            <a:solidFill>
              <a:schemeClr val="dk1"/>
            </a:solidFill>
            <a:latin typeface="+mn-lt"/>
            <a:ea typeface="+mn-ea"/>
            <a:cs typeface="+mn-cs"/>
          </a:endParaRPr>
        </a:p>
        <a:p>
          <a:endParaRPr lang="el-GR" sz="1100">
            <a:solidFill>
              <a:schemeClr val="dk1"/>
            </a:solidFill>
            <a:latin typeface="+mn-lt"/>
            <a:ea typeface="+mn-ea"/>
            <a:cs typeface="+mn-cs"/>
          </a:endParaRPr>
        </a:p>
        <a:p>
          <a:pPr algn="just"/>
          <a:r>
            <a:rPr lang="en-US" sz="1100">
              <a:solidFill>
                <a:schemeClr val="dk1"/>
              </a:solidFill>
              <a:latin typeface="+mn-lt"/>
              <a:ea typeface="+mn-ea"/>
              <a:cs typeface="+mn-cs"/>
            </a:rPr>
            <a:t>In conclusion, CERtuS SE²T is expected to fill successfully the gap of information that many building owners may have, </a:t>
          </a:r>
          <a:r>
            <a:rPr lang="en-US" sz="1100">
              <a:solidFill>
                <a:sysClr val="windowText" lastClr="000000"/>
              </a:solidFill>
              <a:latin typeface="+mn-lt"/>
              <a:ea typeface="+mn-ea"/>
              <a:cs typeface="+mn-cs"/>
            </a:rPr>
            <a:t>concerning the first</a:t>
          </a:r>
          <a:r>
            <a:rPr lang="en-US" sz="1100" baseline="0">
              <a:solidFill>
                <a:sysClr val="windowText" lastClr="000000"/>
              </a:solidFill>
              <a:latin typeface="+mn-lt"/>
              <a:ea typeface="+mn-ea"/>
              <a:cs typeface="+mn-cs"/>
            </a:rPr>
            <a:t> information about the project sustainability and it potencial interest for the market. </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xdr:txBody>
    </xdr:sp>
    <xdr:clientData/>
  </xdr:twoCellAnchor>
  <xdr:twoCellAnchor editAs="oneCell">
    <xdr:from>
      <xdr:col>0</xdr:col>
      <xdr:colOff>0</xdr:colOff>
      <xdr:row>0</xdr:row>
      <xdr:rowOff>0</xdr:rowOff>
    </xdr:from>
    <xdr:to>
      <xdr:col>5</xdr:col>
      <xdr:colOff>114300</xdr:colOff>
      <xdr:row>3</xdr:row>
      <xdr:rowOff>171450</xdr:rowOff>
    </xdr:to>
    <xdr:pic>
      <xdr:nvPicPr>
        <xdr:cNvPr id="4" name="Picture 3">
          <a:hlinkClick xmlns:r="http://schemas.openxmlformats.org/officeDocument/2006/relationships" r:id="rId1"/>
        </xdr:cNvPr>
        <xdr:cNvPicPr>
          <a:picLocks noChangeAspect="1" noChangeArrowheads="1"/>
        </xdr:cNvPicPr>
      </xdr:nvPicPr>
      <xdr:blipFill rotWithShape="1">
        <a:blip xmlns:r="http://schemas.openxmlformats.org/officeDocument/2006/relationships" r:embed="rId2">
          <a:clrChange>
            <a:clrFrom>
              <a:srgbClr val="FFFFFF"/>
            </a:clrFrom>
            <a:clrTo>
              <a:srgbClr val="FFFFFF">
                <a:alpha val="0"/>
              </a:srgbClr>
            </a:clrTo>
          </a:clrChange>
        </a:blip>
        <a:srcRect l="28320" t="10157" r="23730" b="75401"/>
        <a:stretch/>
      </xdr:blipFill>
      <xdr:spPr bwMode="auto">
        <a:xfrm>
          <a:off x="0" y="0"/>
          <a:ext cx="3162300" cy="714375"/>
        </a:xfrm>
        <a:prstGeom prst="rect">
          <a:avLst/>
        </a:prstGeom>
        <a:noFill/>
        <a:ln w="1">
          <a:noFill/>
          <a:miter lim="800000"/>
          <a:headEnd/>
          <a:tailEnd type="none" w="med" len="med"/>
        </a:ln>
        <a:effectLst/>
      </xdr:spPr>
    </xdr:pic>
    <xdr:clientData/>
  </xdr:twoCellAnchor>
  <xdr:twoCellAnchor>
    <xdr:from>
      <xdr:col>6</xdr:col>
      <xdr:colOff>9525</xdr:colOff>
      <xdr:row>0</xdr:row>
      <xdr:rowOff>104775</xdr:rowOff>
    </xdr:from>
    <xdr:to>
      <xdr:col>9</xdr:col>
      <xdr:colOff>629815</xdr:colOff>
      <xdr:row>3</xdr:row>
      <xdr:rowOff>66674</xdr:rowOff>
    </xdr:to>
    <xdr:pic>
      <xdr:nvPicPr>
        <xdr:cNvPr id="6" name="Immagine 4" descr="Descrizione: supportedby"/>
        <xdr:cNvPicPr>
          <a:picLocks noChangeAspect="1" noChangeArrowheads="1"/>
        </xdr:cNvPicPr>
      </xdr:nvPicPr>
      <xdr:blipFill>
        <a:blip xmlns:r="http://schemas.openxmlformats.org/officeDocument/2006/relationships" r:embed="rId3"/>
        <a:srcRect/>
        <a:stretch>
          <a:fillRect/>
        </a:stretch>
      </xdr:blipFill>
      <xdr:spPr bwMode="auto">
        <a:xfrm>
          <a:off x="3667125" y="104775"/>
          <a:ext cx="2601490" cy="504824"/>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722780</xdr:colOff>
      <xdr:row>1</xdr:row>
      <xdr:rowOff>63234</xdr:rowOff>
    </xdr:from>
    <xdr:to>
      <xdr:col>14</xdr:col>
      <xdr:colOff>533080</xdr:colOff>
      <xdr:row>3</xdr:row>
      <xdr:rowOff>184296</xdr:rowOff>
    </xdr:to>
    <xdr:pic>
      <xdr:nvPicPr>
        <xdr:cNvPr id="3" name="Picture 101" descr="CERtuS">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l="21880" r="20684"/>
        <a:stretch>
          <a:fillRect/>
        </a:stretch>
      </xdr:blipFill>
      <xdr:spPr bwMode="auto">
        <a:xfrm>
          <a:off x="9281673" y="240127"/>
          <a:ext cx="694764" cy="624526"/>
        </a:xfrm>
        <a:prstGeom prst="rect">
          <a:avLst/>
        </a:prstGeom>
        <a:noFill/>
      </xdr:spPr>
    </xdr:pic>
    <xdr:clientData/>
  </xdr:twoCellAnchor>
  <xdr:twoCellAnchor>
    <xdr:from>
      <xdr:col>0</xdr:col>
      <xdr:colOff>172934</xdr:colOff>
      <xdr:row>335</xdr:row>
      <xdr:rowOff>150660</xdr:rowOff>
    </xdr:from>
    <xdr:to>
      <xdr:col>14</xdr:col>
      <xdr:colOff>770467</xdr:colOff>
      <xdr:row>357</xdr:row>
      <xdr:rowOff>103717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290</xdr:row>
      <xdr:rowOff>67230</xdr:rowOff>
    </xdr:from>
    <xdr:to>
      <xdr:col>15</xdr:col>
      <xdr:colOff>0</xdr:colOff>
      <xdr:row>311</xdr:row>
      <xdr:rowOff>112449</xdr:rowOff>
    </xdr:to>
    <xdr:graphicFrame macro="">
      <xdr:nvGraphicFramePr>
        <xdr:cNvPr id="7" name="Gra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257970</xdr:colOff>
      <xdr:row>312</xdr:row>
      <xdr:rowOff>67431</xdr:rowOff>
    </xdr:from>
    <xdr:to>
      <xdr:col>15</xdr:col>
      <xdr:colOff>18522</xdr:colOff>
      <xdr:row>335</xdr:row>
      <xdr:rowOff>78316</xdr:rowOff>
    </xdr:to>
    <xdr:graphicFrame macro="">
      <xdr:nvGraphicFramePr>
        <xdr:cNvPr id="10" name="Gra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224116</xdr:colOff>
      <xdr:row>55</xdr:row>
      <xdr:rowOff>100853</xdr:rowOff>
    </xdr:from>
    <xdr:to>
      <xdr:col>8</xdr:col>
      <xdr:colOff>481853</xdr:colOff>
      <xdr:row>64</xdr:row>
      <xdr:rowOff>33618</xdr:rowOff>
    </xdr:to>
    <xdr:sp macro="" textlink="">
      <xdr:nvSpPr>
        <xdr:cNvPr id="5" name="Down Arrow 4"/>
        <xdr:cNvSpPr/>
      </xdr:nvSpPr>
      <xdr:spPr>
        <a:xfrm>
          <a:off x="6264087" y="8774206"/>
          <a:ext cx="257737" cy="1243853"/>
        </a:xfrm>
        <a:prstGeom prst="downArrow">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152400</xdr:colOff>
      <xdr:row>82</xdr:row>
      <xdr:rowOff>66674</xdr:rowOff>
    </xdr:to>
    <xdr:sp macro="" textlink="">
      <xdr:nvSpPr>
        <xdr:cNvPr id="2" name="TextBox 1"/>
        <xdr:cNvSpPr txBox="1"/>
      </xdr:nvSpPr>
      <xdr:spPr>
        <a:xfrm>
          <a:off x="0" y="0"/>
          <a:ext cx="6858000" cy="1334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cap="small">
              <a:solidFill>
                <a:schemeClr val="dk1"/>
              </a:solidFill>
              <a:latin typeface="+mn-lt"/>
              <a:ea typeface="+mn-ea"/>
              <a:cs typeface="+mn-cs"/>
            </a:rPr>
            <a:t>The</a:t>
          </a:r>
          <a:r>
            <a:rPr lang="en-US" sz="1100" b="1" cap="small" baseline="0">
              <a:solidFill>
                <a:schemeClr val="dk1"/>
              </a:solidFill>
              <a:latin typeface="+mn-lt"/>
              <a:ea typeface="+mn-ea"/>
              <a:cs typeface="+mn-cs"/>
            </a:rPr>
            <a:t> simplified economic evaluation tool: Help</a:t>
          </a:r>
          <a:endParaRPr lang="el-GR" sz="1100">
            <a:solidFill>
              <a:schemeClr val="dk1"/>
            </a:solidFill>
            <a:effectLst/>
            <a:latin typeface="+mn-lt"/>
            <a:ea typeface="+mn-ea"/>
            <a:cs typeface="+mn-cs"/>
          </a:endParaRPr>
        </a:p>
        <a:p>
          <a:endParaRPr lang="en-US" sz="1100" cap="small">
            <a:solidFill>
              <a:schemeClr val="dk1"/>
            </a:solidFill>
            <a:latin typeface="+mn-lt"/>
            <a:ea typeface="+mn-ea"/>
            <a:cs typeface="+mn-cs"/>
          </a:endParaRPr>
        </a:p>
        <a:p>
          <a:r>
            <a:rPr lang="en-US" sz="1100" u="sng">
              <a:solidFill>
                <a:schemeClr val="dk1"/>
              </a:solidFill>
              <a:effectLst/>
              <a:latin typeface="+mn-lt"/>
              <a:ea typeface="+mn-ea"/>
              <a:cs typeface="+mn-cs"/>
            </a:rPr>
            <a:t>How to begin:</a:t>
          </a:r>
          <a:endParaRPr lang="el-GR" sz="1100" u="sng">
            <a:solidFill>
              <a:schemeClr val="dk1"/>
            </a:solidFill>
            <a:effectLst/>
            <a:latin typeface="+mn-lt"/>
            <a:ea typeface="+mn-ea"/>
            <a:cs typeface="+mn-cs"/>
          </a:endParaRPr>
        </a:p>
        <a:p>
          <a:pPr lvl="0"/>
          <a:r>
            <a:rPr lang="en-US" sz="1100">
              <a:solidFill>
                <a:schemeClr val="dk1"/>
              </a:solidFill>
              <a:effectLst/>
              <a:latin typeface="+mn-lt"/>
              <a:ea typeface="+mn-ea"/>
              <a:cs typeface="+mn-cs"/>
            </a:rPr>
            <a:t>Open excel file ……………………………………</a:t>
          </a:r>
          <a:endParaRPr lang="el-GR"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Save as</a:t>
          </a:r>
          <a:r>
            <a:rPr lang="en-US" sz="1100">
              <a:solidFill>
                <a:schemeClr val="dk1"/>
              </a:solidFill>
              <a:effectLst/>
              <a:latin typeface="+mn-lt"/>
              <a:ea typeface="+mn-ea"/>
              <a:cs typeface="+mn-cs"/>
            </a:rPr>
            <a:t> new file as: Municipality _Building name</a:t>
          </a:r>
          <a:endParaRPr lang="el-GR" sz="1100">
            <a:solidFill>
              <a:schemeClr val="dk1"/>
            </a:solidFill>
            <a:effectLst/>
            <a:latin typeface="+mn-lt"/>
            <a:ea typeface="+mn-ea"/>
            <a:cs typeface="+mn-cs"/>
          </a:endParaRPr>
        </a:p>
        <a:p>
          <a:pPr lvl="0"/>
          <a:r>
            <a:rPr lang="en-US" sz="1100">
              <a:solidFill>
                <a:schemeClr val="dk1"/>
              </a:solidFill>
              <a:effectLst/>
              <a:latin typeface="+mn-lt"/>
              <a:ea typeface="+mn-ea"/>
              <a:cs typeface="+mn-cs"/>
            </a:rPr>
            <a:t>Choose tab and rename as: Renovation action i.e. heat pump, lighting etc</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b="0" u="sng">
              <a:solidFill>
                <a:schemeClr val="dk1"/>
              </a:solidFill>
              <a:effectLst/>
              <a:latin typeface="+mn-lt"/>
              <a:ea typeface="+mn-ea"/>
              <a:cs typeface="+mn-cs"/>
            </a:rPr>
            <a:t>Purpose and outcome of the evaluation modelling</a:t>
          </a:r>
          <a:endParaRPr lang="el-GR" sz="1100" b="0" u="sng">
            <a:solidFill>
              <a:schemeClr val="dk1"/>
            </a:solidFill>
            <a:effectLst/>
            <a:latin typeface="+mn-lt"/>
            <a:ea typeface="+mn-ea"/>
            <a:cs typeface="+mn-cs"/>
          </a:endParaRPr>
        </a:p>
        <a:p>
          <a:r>
            <a:rPr lang="en-US" sz="1100">
              <a:solidFill>
                <a:schemeClr val="dk1"/>
              </a:solidFill>
              <a:effectLst/>
              <a:latin typeface="+mn-lt"/>
              <a:ea typeface="+mn-ea"/>
              <a:cs typeface="+mn-cs"/>
            </a:rPr>
            <a:t>The calculation sheet takes into consideration the cost figures associated with each renovation action to be proposed for each of the Municipal buildings in order to calculate the NPV of each renovation action. You are asked to enter the figures for the following categories: energy saving, renovation cost, government subsidy (if known for the specific renovation).</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The above information will be further processed in order to be clustered into relevant categories and form the final due business plan for each Municipal Building or Municipality altogether.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b="0" u="sng">
              <a:solidFill>
                <a:schemeClr val="dk1"/>
              </a:solidFill>
              <a:effectLst/>
              <a:latin typeface="+mn-lt"/>
              <a:ea typeface="+mn-ea"/>
              <a:cs typeface="+mn-cs"/>
            </a:rPr>
            <a:t>Data entry: # Enter values in the green cells for text and blue cells for numbers #</a:t>
          </a:r>
          <a:endParaRPr lang="el-GR" sz="1100" b="0" u="sng">
            <a:solidFill>
              <a:schemeClr val="dk1"/>
            </a:solidFill>
            <a:effectLst/>
            <a:latin typeface="+mn-lt"/>
            <a:ea typeface="+mn-ea"/>
            <a:cs typeface="+mn-cs"/>
          </a:endParaRPr>
        </a:p>
        <a:p>
          <a:r>
            <a:rPr lang="en-US" sz="1100">
              <a:solidFill>
                <a:schemeClr val="dk1"/>
              </a:solidFill>
              <a:effectLst/>
              <a:latin typeface="+mn-lt"/>
              <a:ea typeface="+mn-ea"/>
              <a:cs typeface="+mn-cs"/>
            </a:rPr>
            <a:t>How to enter data:</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pPr lvl="0"/>
          <a:r>
            <a:rPr lang="en-US" sz="1100" u="sng">
              <a:solidFill>
                <a:schemeClr val="dk1"/>
              </a:solidFill>
              <a:effectLst/>
              <a:latin typeface="+mn-lt"/>
              <a:ea typeface="+mn-ea"/>
              <a:cs typeface="+mn-cs"/>
            </a:rPr>
            <a:t>Technical information</a:t>
          </a:r>
          <a:endParaRPr lang="el-GR" sz="1100" u="sng">
            <a:solidFill>
              <a:schemeClr val="dk1"/>
            </a:solidFill>
            <a:effectLst/>
            <a:latin typeface="+mn-lt"/>
            <a:ea typeface="+mn-ea"/>
            <a:cs typeface="+mn-cs"/>
          </a:endParaRPr>
        </a:p>
        <a:p>
          <a:r>
            <a:rPr lang="en-US" sz="1100">
              <a:solidFill>
                <a:schemeClr val="dk1"/>
              </a:solidFill>
              <a:effectLst/>
              <a:latin typeface="+mn-lt"/>
              <a:ea typeface="+mn-ea"/>
              <a:cs typeface="+mn-cs"/>
            </a:rPr>
            <a:t>K7:K30	Enter the relevant figures for the pre renovation energy consumption (electricity, oil or other fossil fuel), the renovation measures and the average expected inflation rate. Please pay attention to the quantity entered (i.e. liters vs metric tons)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K11	The lifespan of the project is 1-35 years. It’s the period before it requires replacement</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K17:K20	Enter the cost figures for each energy source (if there is high fluctuation please enter yearly average)</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K32:K39	Enter the investment cost.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K44	Energy saving percentage for indication purpose.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Cost information</a:t>
          </a:r>
          <a:endParaRPr lang="el-GR" sz="1100" u="sng">
            <a:solidFill>
              <a:schemeClr val="dk1"/>
            </a:solidFill>
            <a:effectLst/>
            <a:latin typeface="+mn-lt"/>
            <a:ea typeface="+mn-ea"/>
            <a:cs typeface="+mn-cs"/>
          </a:endParaRPr>
        </a:p>
        <a:p>
          <a:r>
            <a:rPr lang="en-US" sz="1100">
              <a:solidFill>
                <a:schemeClr val="dk1"/>
              </a:solidFill>
              <a:effectLst/>
              <a:latin typeface="+mn-lt"/>
              <a:ea typeface="+mn-ea"/>
              <a:cs typeface="+mn-cs"/>
            </a:rPr>
            <a:t>K45:K50	Data to be entered if there is a well-documented reason, such as scheduled increase in the prices, government announcement etc. If you have any such information regarding your Municipality, country, energy supplier, etc., please provide as a comment in the excel file or attachment. Otherwise please leave values as is.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pPr lvl="0"/>
          <a:r>
            <a:rPr lang="en-US" sz="1100" u="sng">
              <a:solidFill>
                <a:schemeClr val="dk1"/>
              </a:solidFill>
              <a:effectLst/>
              <a:latin typeface="+mn-lt"/>
              <a:ea typeface="+mn-ea"/>
              <a:cs typeface="+mn-cs"/>
            </a:rPr>
            <a:t>Financial information</a:t>
          </a:r>
          <a:endParaRPr lang="el-GR" sz="1100" u="sng">
            <a:solidFill>
              <a:schemeClr val="dk1"/>
            </a:solidFill>
            <a:effectLst/>
            <a:latin typeface="+mn-lt"/>
            <a:ea typeface="+mn-ea"/>
            <a:cs typeface="+mn-cs"/>
          </a:endParaRPr>
        </a:p>
        <a:p>
          <a:r>
            <a:rPr lang="en-US" sz="1100">
              <a:solidFill>
                <a:schemeClr val="dk1"/>
              </a:solidFill>
              <a:effectLst/>
              <a:latin typeface="+mn-lt"/>
              <a:ea typeface="+mn-ea"/>
              <a:cs typeface="+mn-cs"/>
            </a:rPr>
            <a:t>F55	Such instrument is not yet defined but is taken into consideration if specific opportunity/need arises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G55	Enter the following information only if known. Such include government subsidy related to the specific renovation action (i.e. 20% subsidy for installing double glazing or heat pump, green roof). If not please set as 0%</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G59	The longest period for a loan is according to current financial conditions 20 years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H59	Enter the information if there is a subsidized loan (government supported, EU program etc. along with the corresponding interest rate. If not please set to 0%</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J55	If F34, G34, H34, I34 are set to 0%, the commitment of the municipality will be 100%. If there is no capital subsidy or subsidized loan or ESCO, the Municipality is 100% responsible for securing the financing.</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pPr lvl="0"/>
          <a:r>
            <a:rPr lang="en-US" sz="1100" u="sng">
              <a:solidFill>
                <a:schemeClr val="dk1"/>
              </a:solidFill>
              <a:effectLst/>
              <a:latin typeface="+mn-lt"/>
              <a:ea typeface="+mn-ea"/>
              <a:cs typeface="+mn-cs"/>
            </a:rPr>
            <a:t>Energy sharing percentage</a:t>
          </a:r>
          <a:endParaRPr lang="el-GR" sz="1100" u="sng">
            <a:solidFill>
              <a:schemeClr val="dk1"/>
            </a:solidFill>
            <a:effectLst/>
            <a:latin typeface="+mn-lt"/>
            <a:ea typeface="+mn-ea"/>
            <a:cs typeface="+mn-cs"/>
          </a:endParaRPr>
        </a:p>
        <a:p>
          <a:r>
            <a:rPr lang="en-US" sz="1100">
              <a:solidFill>
                <a:schemeClr val="dk1"/>
              </a:solidFill>
              <a:effectLst/>
              <a:latin typeface="+mn-lt"/>
              <a:ea typeface="+mn-ea"/>
              <a:cs typeface="+mn-cs"/>
            </a:rPr>
            <a:t>I65	Range of value is 0%-100%. At 100% all the energy saving is assigned to the ESCO and the project will be paid back at the minimum period. At 10% the Municipality will receive a 10% reduction in the current energy bills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I67	Range of value 0-20 years. According to the calculation formula there is allowance for 20 years max, for the project to be paid back.</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pPr lvl="0"/>
          <a:r>
            <a:rPr lang="en-US" sz="1100" u="sng">
              <a:solidFill>
                <a:schemeClr val="dk1"/>
              </a:solidFill>
              <a:effectLst/>
              <a:latin typeface="+mn-lt"/>
              <a:ea typeface="+mn-ea"/>
              <a:cs typeface="+mn-cs"/>
            </a:rPr>
            <a:t>ESCO financing projects</a:t>
          </a:r>
          <a:endParaRPr lang="el-GR" sz="1100" u="sng">
            <a:solidFill>
              <a:schemeClr val="dk1"/>
            </a:solidFill>
            <a:effectLst/>
            <a:latin typeface="+mn-lt"/>
            <a:ea typeface="+mn-ea"/>
            <a:cs typeface="+mn-cs"/>
          </a:endParaRPr>
        </a:p>
        <a:p>
          <a:r>
            <a:rPr lang="en-US" sz="1100">
              <a:solidFill>
                <a:schemeClr val="dk1"/>
              </a:solidFill>
              <a:effectLst/>
              <a:latin typeface="+mn-lt"/>
              <a:ea typeface="+mn-ea"/>
              <a:cs typeface="+mn-cs"/>
            </a:rPr>
            <a:t>I68	A key indicator for a project to be financed by ESCO or private funds is to secure a positive return on investment. The minimum IRR is to be set by the partner according to each market (i.e.in Greece an ESCO company requires IRR&gt;15%) If the target is met the cell I51 turns green. That means that the project will be generally interesting for an ESCO and you can go on. </a:t>
          </a:r>
          <a:endParaRPr lang="el-GR" sz="1100">
            <a:solidFill>
              <a:schemeClr val="dk1"/>
            </a:solidFill>
            <a:effectLst/>
            <a:latin typeface="+mn-lt"/>
            <a:ea typeface="+mn-ea"/>
            <a:cs typeface="+mn-cs"/>
          </a:endParaRPr>
        </a:p>
        <a:p>
          <a:endParaRPr lang="el-GR" sz="1100" cap="small">
            <a:solidFill>
              <a:schemeClr val="dk1"/>
            </a:solidFill>
            <a:latin typeface="+mn-lt"/>
            <a:ea typeface="+mn-ea"/>
            <a:cs typeface="+mn-cs"/>
          </a:endParaRPr>
        </a:p>
        <a:p>
          <a:r>
            <a:rPr lang="en-US" sz="1100" b="1">
              <a:solidFill>
                <a:schemeClr val="dk1"/>
              </a:solidFill>
              <a:effectLst/>
              <a:latin typeface="+mn-lt"/>
              <a:ea typeface="+mn-ea"/>
              <a:cs typeface="+mn-cs"/>
            </a:rPr>
            <a:t>MUNICIPALITY CASHFLOW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If the ESCO company covers all financing needs for the renovation action, then cell </a:t>
          </a:r>
          <a:r>
            <a:rPr lang="en-US" sz="1100" b="1">
              <a:solidFill>
                <a:schemeClr val="dk1"/>
              </a:solidFill>
              <a:effectLst/>
              <a:latin typeface="+mn-lt"/>
              <a:ea typeface="+mn-ea"/>
              <a:cs typeface="+mn-cs"/>
            </a:rPr>
            <a:t>J55 </a:t>
          </a:r>
          <a:r>
            <a:rPr lang="en-US" sz="1100">
              <a:solidFill>
                <a:schemeClr val="dk1"/>
              </a:solidFill>
              <a:effectLst/>
              <a:latin typeface="+mn-lt"/>
              <a:ea typeface="+mn-ea"/>
              <a:cs typeface="+mn-cs"/>
            </a:rPr>
            <a:t>(Municipality contribution) remains 0%. Under this scenario the Municipality receives a renovation scheme without any financial contribution , sharing the energy savings. Under this scenario the NPV for the Municipality will always be positive &gt;= €0</a:t>
          </a:r>
          <a:endParaRPr lang="el-GR"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PROJECT CASHFLOW INDICATORS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The key indicator figures describe the viability of the renovation action.</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PROJECT  &amp; ESCOs</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Generally, the project for ESCOs is sensitive to various technical and financial parameters. The following table contains the most crucial financial parameters.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POSITIVE EFFECT for ESCO</a:t>
          </a:r>
          <a:endParaRPr lang="el-GR" sz="1100">
            <a:solidFill>
              <a:schemeClr val="dk1"/>
            </a:solidFill>
            <a:effectLst/>
            <a:latin typeface="+mn-lt"/>
            <a:ea typeface="+mn-ea"/>
            <a:cs typeface="+mn-cs"/>
          </a:endParaRPr>
        </a:p>
        <a:p>
          <a:r>
            <a:rPr lang="en-US" sz="1100" b="0">
              <a:solidFill>
                <a:schemeClr val="dk1"/>
              </a:solidFill>
              <a:effectLst/>
              <a:latin typeface="+mn-lt"/>
              <a:ea typeface="+mn-ea"/>
              <a:cs typeface="+mn-cs"/>
            </a:rPr>
            <a:t>Capital subsidy</a:t>
          </a:r>
          <a:endParaRPr lang="el-GR" sz="1100" b="0">
            <a:solidFill>
              <a:schemeClr val="dk1"/>
            </a:solidFill>
            <a:effectLst/>
            <a:latin typeface="+mn-lt"/>
            <a:ea typeface="+mn-ea"/>
            <a:cs typeface="+mn-cs"/>
          </a:endParaRPr>
        </a:p>
        <a:p>
          <a:r>
            <a:rPr lang="en-US" sz="1100" b="0">
              <a:solidFill>
                <a:schemeClr val="dk1"/>
              </a:solidFill>
              <a:effectLst/>
              <a:latin typeface="+mn-lt"/>
              <a:ea typeface="+mn-ea"/>
              <a:cs typeface="+mn-cs"/>
            </a:rPr>
            <a:t>Low interest rate bank loan</a:t>
          </a:r>
          <a:endParaRPr lang="el-GR" sz="1100" b="0">
            <a:solidFill>
              <a:schemeClr val="dk1"/>
            </a:solidFill>
            <a:effectLst/>
            <a:latin typeface="+mn-lt"/>
            <a:ea typeface="+mn-ea"/>
            <a:cs typeface="+mn-cs"/>
          </a:endParaRPr>
        </a:p>
        <a:p>
          <a:r>
            <a:rPr lang="en-US" sz="1100" b="0">
              <a:solidFill>
                <a:schemeClr val="dk1"/>
              </a:solidFill>
              <a:effectLst/>
              <a:latin typeface="+mn-lt"/>
              <a:ea typeface="+mn-ea"/>
              <a:cs typeface="+mn-cs"/>
            </a:rPr>
            <a:t>High energy costs</a:t>
          </a:r>
          <a:endParaRPr lang="el-GR"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NEGATIVE EFFECT for ESCO</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Low saving sharing from Municipality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High WACC – opportunity cost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l-GR" sz="1100">
            <a:solidFill>
              <a:schemeClr val="dk1"/>
            </a:solidFill>
            <a:effectLst/>
            <a:latin typeface="+mn-lt"/>
            <a:ea typeface="+mn-ea"/>
            <a:cs typeface="+mn-cs"/>
          </a:endParaRPr>
        </a:p>
        <a:p>
          <a:endParaRPr lang="el-GR" sz="1100">
            <a:solidFill>
              <a:schemeClr val="dk1"/>
            </a:solidFill>
            <a:effectLst/>
            <a:latin typeface="+mn-lt"/>
            <a:ea typeface="+mn-ea"/>
            <a:cs typeface="+mn-cs"/>
          </a:endParaRPr>
        </a:p>
        <a:p>
          <a:endParaRPr lang="el-GR" sz="1100">
            <a:solidFill>
              <a:schemeClr val="dk1"/>
            </a:solidFill>
            <a:effectLst/>
            <a:latin typeface="+mn-lt"/>
            <a:ea typeface="+mn-ea"/>
            <a:cs typeface="+mn-cs"/>
          </a:endParaRPr>
        </a:p>
      </xdr:txBody>
    </xdr:sp>
    <xdr:clientData/>
  </xdr:twoCellAnchor>
  <xdr:twoCellAnchor editAs="oneCell">
    <xdr:from>
      <xdr:col>9</xdr:col>
      <xdr:colOff>600075</xdr:colOff>
      <xdr:row>0</xdr:row>
      <xdr:rowOff>47625</xdr:rowOff>
    </xdr:from>
    <xdr:to>
      <xdr:col>11</xdr:col>
      <xdr:colOff>123825</xdr:colOff>
      <xdr:row>4</xdr:row>
      <xdr:rowOff>47846</xdr:rowOff>
    </xdr:to>
    <xdr:pic>
      <xdr:nvPicPr>
        <xdr:cNvPr id="3" name="Picture 2" descr="CERtuS">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6086475" y="47625"/>
          <a:ext cx="742950" cy="647921"/>
        </a:xfrm>
        <a:prstGeom prst="rect">
          <a:avLst/>
        </a:prstGeom>
        <a:noFill/>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ertus-project.eu/" TargetMode="External"/><Relationship Id="rId1" Type="http://schemas.openxmlformats.org/officeDocument/2006/relationships/hyperlink" Target="http://www.certus-project.e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certus-project.eu/" TargetMode="External"/><Relationship Id="rId1" Type="http://schemas.openxmlformats.org/officeDocument/2006/relationships/hyperlink" Target="http://www.certus-project.eu/"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G24"/>
  <sheetViews>
    <sheetView showGridLines="0" showRowColHeaders="0" workbookViewId="0"/>
  </sheetViews>
  <sheetFormatPr defaultRowHeight="12.75" x14ac:dyDescent="0.2"/>
  <cols>
    <col min="1" max="2" width="9.42578125" customWidth="1"/>
    <col min="3" max="4" width="23.140625" customWidth="1"/>
    <col min="5" max="6" width="9.42578125" customWidth="1"/>
  </cols>
  <sheetData>
    <row r="10" spans="1:7" ht="31.5" x14ac:dyDescent="0.5">
      <c r="A10" s="209" t="s">
        <v>139</v>
      </c>
      <c r="B10" s="209"/>
      <c r="C10" s="209"/>
      <c r="D10" s="209"/>
      <c r="E10" s="209"/>
      <c r="F10" s="209"/>
    </row>
    <row r="11" spans="1:7" ht="15" x14ac:dyDescent="0.25">
      <c r="A11" s="208" t="s">
        <v>140</v>
      </c>
      <c r="B11" s="208"/>
      <c r="C11" s="208"/>
      <c r="D11" s="208"/>
      <c r="E11" s="208"/>
      <c r="F11" s="208"/>
    </row>
    <row r="14" spans="1:7" ht="15" x14ac:dyDescent="0.25">
      <c r="B14" s="199"/>
      <c r="C14" s="200" t="s">
        <v>201</v>
      </c>
      <c r="D14" s="200"/>
      <c r="E14" s="191"/>
      <c r="F14" s="191"/>
      <c r="G14" s="191"/>
    </row>
    <row r="15" spans="1:7" x14ac:dyDescent="0.2">
      <c r="B15" s="171"/>
    </row>
    <row r="16" spans="1:7" x14ac:dyDescent="0.2">
      <c r="B16" s="171"/>
    </row>
    <row r="17" spans="2:6" x14ac:dyDescent="0.2">
      <c r="B17" s="171"/>
    </row>
    <row r="18" spans="2:6" ht="15.75" x14ac:dyDescent="0.25">
      <c r="B18" s="171"/>
      <c r="C18" s="207" t="s">
        <v>195</v>
      </c>
      <c r="D18" s="207"/>
      <c r="E18" s="170"/>
    </row>
    <row r="19" spans="2:6" ht="15" x14ac:dyDescent="0.25">
      <c r="B19" s="193"/>
      <c r="C19" s="201" t="s">
        <v>209</v>
      </c>
      <c r="D19" s="202" t="s">
        <v>126</v>
      </c>
      <c r="E19" s="170"/>
    </row>
    <row r="20" spans="2:6" ht="15" x14ac:dyDescent="0.25">
      <c r="B20" s="193"/>
      <c r="C20" s="201" t="s">
        <v>204</v>
      </c>
      <c r="D20" s="201" t="s">
        <v>127</v>
      </c>
      <c r="E20" s="170"/>
    </row>
    <row r="21" spans="2:6" ht="15" x14ac:dyDescent="0.2">
      <c r="B21" s="194"/>
      <c r="C21" s="201" t="s">
        <v>196</v>
      </c>
      <c r="D21" s="201" t="s">
        <v>128</v>
      </c>
      <c r="E21" s="170"/>
    </row>
    <row r="22" spans="2:6" ht="15" x14ac:dyDescent="0.2">
      <c r="B22" s="194"/>
      <c r="C22" s="201" t="s">
        <v>125</v>
      </c>
      <c r="D22" s="201" t="s">
        <v>206</v>
      </c>
      <c r="E22" s="170"/>
    </row>
    <row r="23" spans="2:6" ht="15" x14ac:dyDescent="0.2">
      <c r="C23" s="203"/>
      <c r="D23" s="201" t="s">
        <v>207</v>
      </c>
    </row>
    <row r="24" spans="2:6" x14ac:dyDescent="0.2">
      <c r="B24" s="192"/>
      <c r="C24" s="192"/>
      <c r="D24" s="192"/>
      <c r="E24" s="192"/>
      <c r="F24" s="192"/>
    </row>
  </sheetData>
  <sheetProtection password="CD21" sheet="1" objects="1" scenarios="1"/>
  <mergeCells count="3">
    <mergeCell ref="C18:D18"/>
    <mergeCell ref="A11:F11"/>
    <mergeCell ref="A10:F10"/>
  </mergeCells>
  <hyperlinks>
    <hyperlink ref="C20" location="'Statement of originality'!A1" display="Statement of originality"/>
    <hyperlink ref="D19" location="ACTION!A1" display="ACTION"/>
    <hyperlink ref="C21" location="'CERtuS in brief'!A1" display="CERtuS in brief"/>
    <hyperlink ref="C22" location="About!A1" display="About"/>
    <hyperlink ref="D20" location="Help!A1" display="Help"/>
    <hyperlink ref="D21" location="Example!A1" display="Example"/>
    <hyperlink ref="D22" location="Acknowledgements!A1" display="Acknowledgements"/>
    <hyperlink ref="D23" location="'CERtuS partners'!A1" display="CERtuS partners"/>
    <hyperlink ref="C19" location="'Summary sheet'!A1" display="Summary she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defaultRowHeight="12.75" x14ac:dyDescent="0.2"/>
  <sheetData/>
  <sheetProtection password="CD21" sheet="1" objects="1" scenarios="1" selectLockedCells="1" selectUn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showRowColHeaders="0" workbookViewId="0"/>
  </sheetViews>
  <sheetFormatPr defaultRowHeight="12.75" x14ac:dyDescent="0.2"/>
  <cols>
    <col min="9" max="9" width="11.85546875" customWidth="1"/>
  </cols>
  <sheetData>
    <row r="1" spans="1:9" x14ac:dyDescent="0.2">
      <c r="A1" s="169"/>
    </row>
    <row r="2" spans="1:9" x14ac:dyDescent="0.2">
      <c r="B2" s="192"/>
      <c r="C2" s="192"/>
      <c r="D2" s="192"/>
      <c r="E2" s="192"/>
      <c r="F2" s="192"/>
      <c r="G2" s="192"/>
      <c r="H2" s="192"/>
      <c r="I2" s="192"/>
    </row>
    <row r="8" spans="1:9" ht="21" x14ac:dyDescent="0.35">
      <c r="B8" s="218"/>
      <c r="C8" s="218"/>
      <c r="D8" s="218"/>
      <c r="E8" s="218"/>
      <c r="F8" s="218"/>
      <c r="G8" s="218"/>
      <c r="H8" s="218"/>
      <c r="I8" s="218"/>
    </row>
    <row r="9" spans="1:9" ht="15.75" customHeight="1" x14ac:dyDescent="0.35">
      <c r="B9" s="176"/>
      <c r="C9" s="176"/>
      <c r="D9" s="176"/>
      <c r="E9" s="176"/>
      <c r="F9" s="176"/>
      <c r="G9" s="176"/>
      <c r="H9" s="176"/>
      <c r="I9" s="176"/>
    </row>
  </sheetData>
  <sheetProtection password="CD21" sheet="1" objects="1" scenarios="1" selectLockedCells="1" selectUnlockedCells="1"/>
  <mergeCells count="1">
    <mergeCell ref="B8:I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showRowColHeaders="0" workbookViewId="0"/>
  </sheetViews>
  <sheetFormatPr defaultRowHeight="12.75" x14ac:dyDescent="0.2"/>
  <cols>
    <col min="9" max="9" width="11.85546875" customWidth="1"/>
  </cols>
  <sheetData>
    <row r="1" spans="1:9" x14ac:dyDescent="0.2">
      <c r="A1" s="169" t="s">
        <v>205</v>
      </c>
    </row>
    <row r="2" spans="1:9" x14ac:dyDescent="0.2">
      <c r="B2" s="192"/>
      <c r="C2" s="192"/>
      <c r="D2" s="192"/>
      <c r="E2" s="192"/>
      <c r="F2" s="192"/>
      <c r="G2" s="192"/>
      <c r="H2" s="192"/>
      <c r="I2" s="192"/>
    </row>
    <row r="8" spans="1:9" ht="21" x14ac:dyDescent="0.35">
      <c r="B8" s="218"/>
      <c r="C8" s="218"/>
      <c r="D8" s="218"/>
      <c r="E8" s="218"/>
      <c r="F8" s="218"/>
      <c r="G8" s="218"/>
      <c r="H8" s="218"/>
      <c r="I8" s="218"/>
    </row>
    <row r="9" spans="1:9" ht="15.75" customHeight="1" x14ac:dyDescent="0.35">
      <c r="B9" s="175"/>
      <c r="C9" s="175"/>
      <c r="D9" s="175"/>
      <c r="E9" s="175"/>
      <c r="F9" s="175"/>
      <c r="G9" s="175"/>
      <c r="H9" s="175"/>
      <c r="I9" s="175"/>
    </row>
  </sheetData>
  <sheetProtection password="CD21" sheet="1" objects="1" scenarios="1" selectLockedCells="1" selectUnlockedCells="1"/>
  <mergeCells count="1">
    <mergeCell ref="B8:I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41"/>
  <sheetViews>
    <sheetView topLeftCell="A65" workbookViewId="0">
      <selection activeCell="C84" sqref="C84:S141"/>
    </sheetView>
  </sheetViews>
  <sheetFormatPr defaultRowHeight="12.75" x14ac:dyDescent="0.2"/>
  <sheetData>
    <row r="2" spans="2:17" x14ac:dyDescent="0.2">
      <c r="B2" s="1"/>
      <c r="C2" s="16"/>
      <c r="D2" s="11"/>
      <c r="E2" s="11"/>
      <c r="F2" s="11"/>
      <c r="G2" s="11"/>
      <c r="H2" s="11"/>
      <c r="I2" s="11"/>
      <c r="J2" s="11"/>
      <c r="K2" s="11"/>
      <c r="L2" s="11"/>
      <c r="M2" s="4"/>
      <c r="N2" s="4"/>
      <c r="O2" s="4"/>
      <c r="P2" s="17"/>
      <c r="Q2" s="1"/>
    </row>
    <row r="3" spans="2:17" x14ac:dyDescent="0.2">
      <c r="B3" s="1"/>
      <c r="C3" s="67" t="s">
        <v>92</v>
      </c>
      <c r="D3" s="11"/>
      <c r="E3" s="11"/>
      <c r="F3" s="11"/>
      <c r="G3" s="11"/>
      <c r="H3" s="11"/>
      <c r="I3" s="11"/>
      <c r="J3" s="11"/>
      <c r="K3" s="11"/>
      <c r="L3" s="11"/>
      <c r="M3" s="30"/>
      <c r="N3" s="30"/>
      <c r="O3" s="30"/>
      <c r="P3" s="31"/>
      <c r="Q3" s="1"/>
    </row>
    <row r="4" spans="2:17" ht="118.5" x14ac:dyDescent="0.2">
      <c r="B4" s="1"/>
      <c r="C4" s="56" t="s">
        <v>4</v>
      </c>
      <c r="D4" s="57" t="s">
        <v>60</v>
      </c>
      <c r="E4" s="57"/>
      <c r="F4" s="58" t="s">
        <v>58</v>
      </c>
      <c r="G4" s="57" t="s">
        <v>120</v>
      </c>
      <c r="H4" s="58" t="s">
        <v>51</v>
      </c>
      <c r="I4" s="57" t="s">
        <v>45</v>
      </c>
      <c r="J4" s="59" t="s">
        <v>62</v>
      </c>
      <c r="K4" s="59" t="s">
        <v>121</v>
      </c>
      <c r="L4" s="57" t="s">
        <v>49</v>
      </c>
      <c r="M4" s="57" t="s">
        <v>0</v>
      </c>
      <c r="N4" s="68"/>
      <c r="O4" s="68"/>
      <c r="P4" s="28"/>
      <c r="Q4" s="1"/>
    </row>
    <row r="5" spans="2:17" x14ac:dyDescent="0.2">
      <c r="B5" s="1"/>
      <c r="C5" s="20">
        <v>0</v>
      </c>
      <c r="D5" s="21">
        <f>-ACTION!K39</f>
        <v>-401956</v>
      </c>
      <c r="E5" s="21"/>
      <c r="F5" s="21"/>
      <c r="G5" s="21"/>
      <c r="H5" s="1"/>
      <c r="I5" s="21">
        <f t="shared" ref="I5:I40" si="0">+D5+F5+G5+H5</f>
        <v>-401956</v>
      </c>
      <c r="J5" s="21">
        <f>+I5</f>
        <v>-401956</v>
      </c>
      <c r="K5" s="66" t="str">
        <f t="shared" ref="K5:K24" si="1">+IF(AND(J5&lt;0,J6&gt;0),C5," ")</f>
        <v xml:space="preserve"> </v>
      </c>
      <c r="L5" s="21"/>
      <c r="M5" s="95">
        <f>I5</f>
        <v>-401956</v>
      </c>
      <c r="N5" s="11"/>
      <c r="O5" s="11"/>
      <c r="P5" s="28"/>
      <c r="Q5" s="1"/>
    </row>
    <row r="6" spans="2:17" x14ac:dyDescent="0.2">
      <c r="B6" s="1"/>
      <c r="C6" s="20">
        <f t="shared" ref="C6:C40" si="2">+C5+1</f>
        <v>1</v>
      </c>
      <c r="D6" s="21"/>
      <c r="E6" s="21"/>
      <c r="F6" s="21">
        <f>-IF(MOD(C6,ACTION!$K$23)=0,ACTION!$K$22*(1+ACTION!$K$42)^C6,0)</f>
        <v>0</v>
      </c>
      <c r="G6" s="21">
        <f>(ACTION!$K$14-ACTION!$K$26)*((1-ACTION!$K$45)^$C5)*ACTION!$K$43+(ACTION!$K$16-ACTION!$K$29)*((1-ACTION!$K$46)^$C5)*ACTION!$K$17+(ACTION!$K$19-ACTION!$K$30)*((1-ACTION!$K$47)^$C5)*ACTION!$K$20+ACTION!$K$21</f>
        <v>53824.376000000004</v>
      </c>
      <c r="H6" s="110">
        <f>-ACTION!K$27*((1+ACTION!$K$42)^C6)</f>
        <v>-820.08</v>
      </c>
      <c r="I6" s="21">
        <f t="shared" si="0"/>
        <v>53004.296000000002</v>
      </c>
      <c r="J6" s="21">
        <f>IF(C6&gt;ACTION!$K$11,"",+I6+J5)</f>
        <v>-348951.70400000003</v>
      </c>
      <c r="K6" s="66" t="str">
        <f t="shared" si="1"/>
        <v xml:space="preserve"> </v>
      </c>
      <c r="L6" s="94">
        <f>IF(C6&gt;ACTION!K$11,"",IF(ISERROR(IRR($I$5:I6)),"",IRR($I$5:I6)))</f>
        <v>-0.86813408432763783</v>
      </c>
      <c r="M6" s="95">
        <f>IF(C6&gt;ACTION!K$11,"",NPV(ACTION!$K$53,I$6:I6)+M$5)</f>
        <v>-351619.5365622032</v>
      </c>
      <c r="N6" s="11"/>
      <c r="O6" s="21"/>
      <c r="P6" s="28"/>
      <c r="Q6" s="1"/>
    </row>
    <row r="7" spans="2:17" x14ac:dyDescent="0.2">
      <c r="B7" s="1"/>
      <c r="C7" s="20">
        <f t="shared" si="2"/>
        <v>2</v>
      </c>
      <c r="D7" s="21"/>
      <c r="E7" s="21"/>
      <c r="F7" s="21">
        <f>-IF(MOD(C7,ACTION!$K$23)=0,ACTION!$K$22*(1+ACTION!$K$42)^C7,0)</f>
        <v>0</v>
      </c>
      <c r="G7" s="21">
        <f>(ACTION!$K$14-ACTION!$K$26)*((1-ACTION!$K$45)^$C46)*ACTION!$K$43*(1+ACTION!$K$48)^C46+(ACTION!$K$16-ACTION!$K$29)*((1-ACTION!$K$46)^$C46)*ACTION!$K$17*(1+ACTION!$K$49)^C46+(ACTION!$K$19-ACTION!$K$30)*((1-ACTION!$K$47)^$C46)*ACTION!$K$20*(1+ACTION!$K$50)^C46+ACTION!K$21</f>
        <v>53819.041462400004</v>
      </c>
      <c r="H7" s="110">
        <f>-ACTION!K$27*((1+ACTION!$K$42)^C7)</f>
        <v>-836.48159999999996</v>
      </c>
      <c r="I7" s="21">
        <f t="shared" si="0"/>
        <v>52982.559862400005</v>
      </c>
      <c r="J7" s="21">
        <f>IF(C7&gt;ACTION!$K$11,"",+I7+J6)</f>
        <v>-295969.14413760003</v>
      </c>
      <c r="K7" s="66" t="str">
        <f t="shared" si="1"/>
        <v xml:space="preserve"> </v>
      </c>
      <c r="L7" s="94">
        <f>IF(C7&gt;ACTION!K$11,"",IF(ISERROR(IRR($I$5:I7)),"",IRR($I$5:I7)))</f>
        <v>-0.56506975939793835</v>
      </c>
      <c r="M7" s="95">
        <f>IF(C7&gt;ACTION!K$11,"",NPV(ACTION!$K$53,I$6:I7)+M$5)</f>
        <v>-303836.23045411787</v>
      </c>
      <c r="N7" s="11"/>
      <c r="O7" s="11"/>
      <c r="P7" s="28"/>
      <c r="Q7" s="1"/>
    </row>
    <row r="8" spans="2:17" x14ac:dyDescent="0.2">
      <c r="B8" s="1"/>
      <c r="C8" s="20">
        <f t="shared" si="2"/>
        <v>3</v>
      </c>
      <c r="D8" s="21"/>
      <c r="E8" s="21"/>
      <c r="F8" s="21">
        <f>-IF(MOD(C8,ACTION!$K$23)=0,ACTION!$K$22*(1+ACTION!$K$42)^C8,0)</f>
        <v>0</v>
      </c>
      <c r="G8" s="21">
        <f>(ACTION!$K$14-ACTION!$K$26)*((1-ACTION!$K$45)^$C47)*ACTION!$K$43*(1+ACTION!$K$48)^C47+(ACTION!$K$16-ACTION!$K$29)*((1-ACTION!$K$46)^$C47)*ACTION!$K$17*(1+ACTION!$K$49)^C47+(ACTION!$K$19-ACTION!$K$30)*((1-ACTION!$K$47)^$C47)*ACTION!$K$20*(1+ACTION!$K$50)^C47+ACTION!K$21</f>
        <v>53813.707458253761</v>
      </c>
      <c r="H8" s="110">
        <f>-ACTION!K$27*((1+ACTION!$K$42)^C8)</f>
        <v>-853.211232</v>
      </c>
      <c r="I8" s="21">
        <f t="shared" si="0"/>
        <v>52960.496226253759</v>
      </c>
      <c r="J8" s="21">
        <f>IF(C8&gt;ACTION!$K$11,"",+I8+J7)</f>
        <v>-243008.64791134628</v>
      </c>
      <c r="K8" s="66" t="str">
        <f t="shared" si="1"/>
        <v xml:space="preserve"> </v>
      </c>
      <c r="L8" s="94">
        <f>IF(C8&gt;ACTION!K$11,"",IF(ISERROR(IRR($I$5:I8)),"",IRR($I$5:I8)))</f>
        <v>-0.35153619238769107</v>
      </c>
      <c r="M8" s="95">
        <f>IF(C8&gt;ACTION!K$11,"",NPV(ACTION!$K$53,I$6:I8)+M$5)</f>
        <v>-258476.86900316717</v>
      </c>
      <c r="N8" s="11"/>
      <c r="O8" s="11"/>
      <c r="P8" s="28"/>
      <c r="Q8" s="1"/>
    </row>
    <row r="9" spans="2:17" x14ac:dyDescent="0.2">
      <c r="B9" s="1"/>
      <c r="C9" s="20">
        <f t="shared" si="2"/>
        <v>4</v>
      </c>
      <c r="D9" s="21"/>
      <c r="E9" s="21"/>
      <c r="F9" s="21">
        <f>-IF(MOD(C9,ACTION!$K$23)=0,ACTION!$K$22*(1+ACTION!$K$42)^C9,0)</f>
        <v>-1.08243216</v>
      </c>
      <c r="G9" s="21">
        <f>(ACTION!$K$14-ACTION!$K$26)*((1-ACTION!$K$45)^$C48)*ACTION!$K$43*(1+ACTION!$K$48)^C48+(ACTION!$K$16-ACTION!$K$29)*((1-ACTION!$K$46)^$C48)*ACTION!$K$17*(1+ACTION!$K$49)^C48+(ACTION!$K$19-ACTION!$K$30)*((1-ACTION!$K$47)^$C48)*ACTION!$K$20*(1+ACTION!$K$50)^C48+ACTION!K$21</f>
        <v>53808.373987507926</v>
      </c>
      <c r="H9" s="110">
        <f>-ACTION!K$27*((1+ACTION!$K$42)^C9)</f>
        <v>-870.27545664000002</v>
      </c>
      <c r="I9" s="21">
        <f t="shared" si="0"/>
        <v>52937.016098707922</v>
      </c>
      <c r="J9" s="21">
        <f>IF(C9&gt;ACTION!$K$11,"",+I9+J8)</f>
        <v>-190071.63181263837</v>
      </c>
      <c r="K9" s="66" t="str">
        <f t="shared" si="1"/>
        <v xml:space="preserve"> </v>
      </c>
      <c r="L9" s="94">
        <f>IF(C9&gt;ACTION!K$11,"",IF(ISERROR(IRR($I$5:I9)),"",IRR($I$5:I9)))</f>
        <v>-0.21469809556272512</v>
      </c>
      <c r="M9" s="95">
        <f>IF(C9&gt;ACTION!K$11,"",NPV(ACTION!$K$53,I$6:I9)+M$5)</f>
        <v>-215419.65029505102</v>
      </c>
      <c r="N9" s="11"/>
      <c r="O9" s="21"/>
      <c r="P9" s="28"/>
      <c r="Q9" s="1"/>
    </row>
    <row r="10" spans="2:17" x14ac:dyDescent="0.2">
      <c r="B10" s="1"/>
      <c r="C10" s="20">
        <f t="shared" si="2"/>
        <v>5</v>
      </c>
      <c r="D10" s="21"/>
      <c r="E10" s="21"/>
      <c r="F10" s="21">
        <f>-IF(MOD(C10,ACTION!$K$23)=0,ACTION!$K$22*(1+ACTION!$K$42)^C10,0)</f>
        <v>0</v>
      </c>
      <c r="G10" s="21">
        <f>(ACTION!$K$14-ACTION!$K$26)*((1-ACTION!$K$45)^$C49)*ACTION!$K$43*(1+ACTION!$K$48)^C49+(ACTION!$K$16-ACTION!$K$29)*((1-ACTION!$K$46)^$C49)*ACTION!$K$17*(1+ACTION!$K$49)^C49+(ACTION!$K$19-ACTION!$K$30)*((1-ACTION!$K$47)^$C49)*ACTION!$K$20*(1+ACTION!$K$50)^C49+ACTION!K$21</f>
        <v>53803.041050109183</v>
      </c>
      <c r="H10" s="110">
        <f>-ACTION!K$27*((1+ACTION!$K$42)^C10)</f>
        <v>-887.68096577280005</v>
      </c>
      <c r="I10" s="21">
        <f t="shared" si="0"/>
        <v>52915.360084336382</v>
      </c>
      <c r="J10" s="21">
        <f>IF(C10&gt;ACTION!$K$11,"",+I10+J9)</f>
        <v>-137156.271728302</v>
      </c>
      <c r="K10" s="66" t="str">
        <f t="shared" si="1"/>
        <v xml:space="preserve"> </v>
      </c>
      <c r="L10" s="94">
        <f>IF(C10&gt;ACTION!K$11,"",IF(ISERROR(IRR($I$5:I10)),"",IRR($I$5:I10)))</f>
        <v>-0.12476520092495036</v>
      </c>
      <c r="M10" s="95">
        <f>IF(C10&gt;ACTION!K$11,"",NPV(ACTION!$K$53,I$6:I10)+M$5)</f>
        <v>-174546.33175562983</v>
      </c>
      <c r="N10" s="11"/>
      <c r="O10" s="11"/>
      <c r="P10" s="28"/>
      <c r="Q10" s="1"/>
    </row>
    <row r="11" spans="2:17" x14ac:dyDescent="0.2">
      <c r="B11" s="1"/>
      <c r="C11" s="20">
        <f t="shared" si="2"/>
        <v>6</v>
      </c>
      <c r="D11" s="21"/>
      <c r="E11" s="21"/>
      <c r="F11" s="21">
        <f>-IF(MOD(C11,ACTION!$K$23)=0,ACTION!$K$22*(1+ACTION!$K$42)^C11,0)</f>
        <v>0</v>
      </c>
      <c r="G11" s="21">
        <f>(ACTION!$K$14-ACTION!$K$26)*((1-ACTION!$K$45)^$C50)*ACTION!$K$43*(1+ACTION!$K$48)^C50+(ACTION!$K$16-ACTION!$K$29)*((1-ACTION!$K$46)^$C50)*ACTION!$K$17*(1+ACTION!$K$49)^C50+(ACTION!$K$19-ACTION!$K$30)*((1-ACTION!$K$47)^$C50)*ACTION!$K$20*(1+ACTION!$K$50)^C50+ACTION!K$21</f>
        <v>53797.708646004168</v>
      </c>
      <c r="H11" s="110">
        <f>-ACTION!K$27*((1+ACTION!$K$42)^C11)</f>
        <v>-905.43458508825609</v>
      </c>
      <c r="I11" s="21">
        <f t="shared" si="0"/>
        <v>52892.274060915915</v>
      </c>
      <c r="J11" s="21">
        <f>IF(C11&gt;ACTION!$K$11,"",+I11+J10)</f>
        <v>-84263.99766738608</v>
      </c>
      <c r="K11" s="66" t="str">
        <f t="shared" si="1"/>
        <v xml:space="preserve"> </v>
      </c>
      <c r="L11" s="94">
        <f>IF(C11&gt;ACTION!K$11,"",IF(ISERROR(IRR($I$5:I11)),"",IRR($I$5:I11)))</f>
        <v>-6.3361008002760566E-2</v>
      </c>
      <c r="M11" s="95">
        <f>IF(C11&gt;ACTION!K$11,"",NPV(ACTION!$K$53,I$6:I11)+M$5)</f>
        <v>-135747.19952111243</v>
      </c>
      <c r="N11" s="11"/>
      <c r="O11" s="11"/>
      <c r="P11" s="28"/>
      <c r="Q11" s="1"/>
    </row>
    <row r="12" spans="2:17" x14ac:dyDescent="0.2">
      <c r="B12" s="1"/>
      <c r="C12" s="20">
        <f t="shared" si="2"/>
        <v>7</v>
      </c>
      <c r="D12" s="21"/>
      <c r="E12" s="21"/>
      <c r="F12" s="21">
        <f>-IF(MOD(C12,ACTION!$K$23)=0,ACTION!$K$22*(1+ACTION!$K$42)^C12,0)</f>
        <v>0</v>
      </c>
      <c r="G12" s="21">
        <f>(ACTION!$K$14-ACTION!$K$26)*((1-ACTION!$K$45)^$C51)*ACTION!$K$43*(1+ACTION!$K$48)^C51+(ACTION!$K$16-ACTION!$K$29)*((1-ACTION!$K$46)^$C51)*ACTION!$K$17*(1+ACTION!$K$49)^C51+(ACTION!$K$19-ACTION!$K$30)*((1-ACTION!$K$47)^$C51)*ACTION!$K$20*(1+ACTION!$K$50)^C51+ACTION!K$21</f>
        <v>53792.376775139572</v>
      </c>
      <c r="H12" s="110">
        <f>-ACTION!K$27*((1+ACTION!$K$42)^C12)</f>
        <v>-923.54327679002097</v>
      </c>
      <c r="I12" s="21">
        <f t="shared" si="0"/>
        <v>52868.833498349552</v>
      </c>
      <c r="J12" s="21">
        <f>IF(C12&gt;ACTION!$K$11,"",+I12+J11)</f>
        <v>-31395.164169036529</v>
      </c>
      <c r="K12" s="66">
        <f t="shared" si="1"/>
        <v>7</v>
      </c>
      <c r="L12" s="94">
        <f>IF(C12&gt;ACTION!K$11,"",IF(ISERROR(IRR($I$5:I12)),"",IRR($I$5:I12)))</f>
        <v>-1.9935720660099077E-2</v>
      </c>
      <c r="M12" s="95">
        <f>IF(C12&gt;ACTION!K$11,"",NPV(ACTION!$K$53,I$6:I12)+M$5)</f>
        <v>-98917.249466212641</v>
      </c>
      <c r="N12" s="11"/>
      <c r="O12" s="11"/>
      <c r="P12" s="28"/>
      <c r="Q12" s="1"/>
    </row>
    <row r="13" spans="2:17" x14ac:dyDescent="0.2">
      <c r="B13" s="1"/>
      <c r="C13" s="20">
        <f t="shared" si="2"/>
        <v>8</v>
      </c>
      <c r="D13" s="21"/>
      <c r="E13" s="21"/>
      <c r="F13" s="21">
        <f>-IF(MOD(C13,ACTION!$K$23)=0,ACTION!$K$22*(1+ACTION!$K$42)^C13,0)</f>
        <v>-1.1716593810022655</v>
      </c>
      <c r="G13" s="21">
        <f>(ACTION!$K$14-ACTION!$K$26)*((1-ACTION!$K$45)^$C52)*ACTION!$K$43*(1+ACTION!$K$48)^C52+(ACTION!$K$16-ACTION!$K$29)*((1-ACTION!$K$46)^$C52)*ACTION!$K$17*(1+ACTION!$K$49)^C52+(ACTION!$K$19-ACTION!$K$30)*((1-ACTION!$K$47)^$C52)*ACTION!$K$20*(1+ACTION!$K$50)^C52+ACTION!K$21</f>
        <v>53787.045437462046</v>
      </c>
      <c r="H13" s="110">
        <f>-ACTION!K$27*((1+ACTION!$K$42)^C13)</f>
        <v>-942.01414232582147</v>
      </c>
      <c r="I13" s="21">
        <f t="shared" si="0"/>
        <v>52843.859635755216</v>
      </c>
      <c r="J13" s="21">
        <f>IF(C13&gt;ACTION!$K$11,"",+I13+J12)</f>
        <v>21448.695466718687</v>
      </c>
      <c r="K13" s="66" t="str">
        <f t="shared" si="1"/>
        <v xml:space="preserve"> </v>
      </c>
      <c r="L13" s="94">
        <f>IF(C13&gt;ACTION!K$11,"",IF(ISERROR(IRR($I$5:I13)),"",IRR($I$5:I13)))</f>
        <v>1.1705228195560302E-2</v>
      </c>
      <c r="M13" s="95">
        <f>IF(C13&gt;ACTION!K$11,"",NPV(ACTION!$K$53,I$6:I13)+M$5)</f>
        <v>-63957.560440661095</v>
      </c>
      <c r="N13" s="11"/>
      <c r="O13" s="11"/>
      <c r="P13" s="28"/>
      <c r="Q13" s="100"/>
    </row>
    <row r="14" spans="2:17" x14ac:dyDescent="0.2">
      <c r="B14" s="1"/>
      <c r="C14" s="20">
        <f t="shared" si="2"/>
        <v>9</v>
      </c>
      <c r="D14" s="21"/>
      <c r="E14" s="21"/>
      <c r="F14" s="21">
        <f>-IF(MOD(C14,ACTION!$K$23)=0,ACTION!$K$22*(1+ACTION!$K$42)^C14,0)</f>
        <v>0</v>
      </c>
      <c r="G14" s="21">
        <f>(ACTION!$K$14-ACTION!$K$26)*((1-ACTION!$K$45)^$C53)*ACTION!$K$43*(1+ACTION!$K$48)^C53+(ACTION!$K$16-ACTION!$K$29)*((1-ACTION!$K$46)^$C53)*ACTION!$K$17*(1+ACTION!$K$49)^C53+(ACTION!$K$19-ACTION!$K$30)*((1-ACTION!$K$47)^$C53)*ACTION!$K$20*(1+ACTION!$K$50)^C53+ACTION!K$21</f>
        <v>53781.714632918309</v>
      </c>
      <c r="H14" s="110">
        <f>-ACTION!K$27*((1+ACTION!$K$42)^C14)</f>
        <v>-960.85442517233787</v>
      </c>
      <c r="I14" s="21">
        <f t="shared" si="0"/>
        <v>52820.860207745973</v>
      </c>
      <c r="J14" s="21">
        <f>IF(C14&gt;ACTION!$K$11,"",+I14+J13)</f>
        <v>74269.55567446466</v>
      </c>
      <c r="K14" s="66" t="str">
        <f t="shared" si="1"/>
        <v xml:space="preserve"> </v>
      </c>
      <c r="L14" s="94">
        <f>IF(C14&gt;ACTION!K$11,"",IF(ISERROR(IRR($I$5:I14)),"",IRR($I$5:I14)))</f>
        <v>3.534371154475946E-2</v>
      </c>
      <c r="M14" s="95">
        <f>IF(C14&gt;ACTION!K$11,"",NPV(ACTION!$K$53,I$6:I14)+M$5)</f>
        <v>-30771.925691273704</v>
      </c>
      <c r="N14" s="11"/>
      <c r="O14" s="11"/>
      <c r="P14" s="28"/>
      <c r="Q14" s="1"/>
    </row>
    <row r="15" spans="2:17" x14ac:dyDescent="0.2">
      <c r="B15" s="1"/>
      <c r="C15" s="20">
        <f t="shared" si="2"/>
        <v>10</v>
      </c>
      <c r="D15" s="21"/>
      <c r="E15" s="21"/>
      <c r="F15" s="21">
        <f>-IF(MOD(C15,ACTION!$K$23)=0,ACTION!$K$22*(1+ACTION!$K$42)^C15,0)</f>
        <v>0</v>
      </c>
      <c r="G15" s="21">
        <f>(ACTION!$K$14-ACTION!$K$26)*((1-ACTION!$K$45)^$C54)*ACTION!$K$43*(1+ACTION!$K$48)^C54+(ACTION!$K$16-ACTION!$K$29)*((1-ACTION!$K$46)^$C54)*ACTION!$K$17*(1+ACTION!$K$49)^C54+(ACTION!$K$19-ACTION!$K$30)*((1-ACTION!$K$47)^$C54)*ACTION!$K$20*(1+ACTION!$K$50)^C54+ACTION!K$21</f>
        <v>53776.384361455021</v>
      </c>
      <c r="H15" s="110">
        <f>-ACTION!K$27*((1+ACTION!$K$42)^C15)</f>
        <v>-980.07151367578467</v>
      </c>
      <c r="I15" s="21">
        <f t="shared" si="0"/>
        <v>52796.312847779234</v>
      </c>
      <c r="J15" s="21">
        <f>IF(C15&gt;ACTION!$K$11,"",+I15+J14)</f>
        <v>127065.86852224389</v>
      </c>
      <c r="K15" s="66" t="str">
        <f t="shared" si="1"/>
        <v xml:space="preserve"> </v>
      </c>
      <c r="L15" s="94">
        <f>IF(C15&gt;ACTION!K$11,"",IF(ISERROR(IRR($I$5:I15)),"",IRR($I$5:I15)))</f>
        <v>5.3376212343773766E-2</v>
      </c>
      <c r="M15" s="95">
        <f>IF(C15&gt;ACTION!K$11,"",NPV(ACTION!$K$53,I$6:I15)+M$5)</f>
        <v>728.75088859803509</v>
      </c>
      <c r="N15" s="11"/>
      <c r="O15" s="11"/>
      <c r="P15" s="28"/>
      <c r="Q15" s="1"/>
    </row>
    <row r="16" spans="2:17" x14ac:dyDescent="0.2">
      <c r="B16" s="1"/>
      <c r="C16" s="20">
        <f t="shared" si="2"/>
        <v>11</v>
      </c>
      <c r="D16" s="21"/>
      <c r="E16" s="21"/>
      <c r="F16" s="21">
        <f>-IF(MOD(C16,ACTION!$K$23)=0,ACTION!$K$22*(1+ACTION!$K$42)^C16,0)</f>
        <v>0</v>
      </c>
      <c r="G16" s="21">
        <f>(ACTION!$K$14-ACTION!$K$26)*((1-ACTION!$K$45)^$C55)*ACTION!$K$43*(1+ACTION!$K$48)^C55+(ACTION!$K$16-ACTION!$K$29)*((1-ACTION!$K$46)^$C55)*ACTION!$K$17*(1+ACTION!$K$49)^C55+(ACTION!$K$19-ACTION!$K$30)*((1-ACTION!$K$47)^$C55)*ACTION!$K$20*(1+ACTION!$K$50)^C55+ACTION!K$21</f>
        <v>53771.054623018877</v>
      </c>
      <c r="H16" s="110">
        <f>-ACTION!K$27*((1+ACTION!$K$42)^C16)</f>
        <v>-999.67294394930025</v>
      </c>
      <c r="I16" s="21">
        <f t="shared" si="0"/>
        <v>52771.381679069578</v>
      </c>
      <c r="J16" s="21">
        <f>IF(C16&gt;ACTION!$K$11,"",+I16+J15)</f>
        <v>179837.25020131347</v>
      </c>
      <c r="K16" s="66" t="str">
        <f t="shared" si="1"/>
        <v xml:space="preserve"> </v>
      </c>
      <c r="L16" s="94">
        <f>IF(C16&gt;ACTION!K$11,"",IF(ISERROR(IRR($I$5:I16)),"",IRR($I$5:I16)))</f>
        <v>6.7376596373317721E-2</v>
      </c>
      <c r="M16" s="95">
        <f>IF(C16&gt;ACTION!K$11,"",NPV(ACTION!$K$53,I$6:I16)+M$5)</f>
        <v>30629.796959857515</v>
      </c>
      <c r="N16" s="11"/>
      <c r="O16" s="11"/>
      <c r="P16" s="28"/>
      <c r="Q16" s="1"/>
    </row>
    <row r="17" spans="2:17" x14ac:dyDescent="0.2">
      <c r="B17" s="1"/>
      <c r="C17" s="20">
        <f t="shared" si="2"/>
        <v>12</v>
      </c>
      <c r="D17" s="21"/>
      <c r="E17" s="21"/>
      <c r="F17" s="21">
        <f>-IF(MOD(C17,ACTION!$K$23)=0,ACTION!$K$22*(1+ACTION!$K$42)^C17,0)</f>
        <v>-1.2682417945625453</v>
      </c>
      <c r="G17" s="21">
        <f>(ACTION!$K$14-ACTION!$K$26)*((1-ACTION!$K$45)^$C56)*ACTION!$K$43*(1+ACTION!$K$48)^C56+(ACTION!$K$16-ACTION!$K$29)*((1-ACTION!$K$46)^$C56)*ACTION!$K$17*(1+ACTION!$K$49)^C56+(ACTION!$K$19-ACTION!$K$30)*((1-ACTION!$K$47)^$C56)*ACTION!$K$20*(1+ACTION!$K$50)^C56+ACTION!K$21</f>
        <v>53765.725417556569</v>
      </c>
      <c r="H17" s="110">
        <f>-ACTION!K$27*((1+ACTION!$K$42)^C17)</f>
        <v>-1019.6664028282864</v>
      </c>
      <c r="I17" s="21">
        <f t="shared" si="0"/>
        <v>52744.790772933724</v>
      </c>
      <c r="J17" s="21">
        <f>IF(C17&gt;ACTION!$K$11,"",+I17+J16)</f>
        <v>232582.04097424718</v>
      </c>
      <c r="K17" s="66" t="str">
        <f t="shared" si="1"/>
        <v xml:space="preserve"> </v>
      </c>
      <c r="L17" s="94">
        <f>IF(C17&gt;ACTION!K$11,"",IF(ISERROR(IRR($I$5:I17)),"",IRR($I$5:I17)))</f>
        <v>7.8409974592059228E-2</v>
      </c>
      <c r="M17" s="95">
        <f>IF(C17&gt;ACTION!K$11,"",NPV(ACTION!$K$53,I$6:I17)+M$5)</f>
        <v>59011.543655203248</v>
      </c>
      <c r="N17" s="11"/>
      <c r="O17" s="11"/>
      <c r="P17" s="28"/>
      <c r="Q17" s="1"/>
    </row>
    <row r="18" spans="2:17" x14ac:dyDescent="0.2">
      <c r="B18" s="1"/>
      <c r="C18" s="20">
        <f t="shared" si="2"/>
        <v>13</v>
      </c>
      <c r="D18" s="21"/>
      <c r="E18" s="21"/>
      <c r="F18" s="21">
        <f>-IF(MOD(C18,ACTION!$K$23)=0,ACTION!$K$22*(1+ACTION!$K$42)^C18,0)</f>
        <v>0</v>
      </c>
      <c r="G18" s="21">
        <f>(ACTION!$K$14-ACTION!$K$26)*((1-ACTION!$K$45)^$C57)*ACTION!$K$43*(1+ACTION!$K$48)^C57+(ACTION!$K$16-ACTION!$K$29)*((1-ACTION!$K$46)^$C57)*ACTION!$K$17*(1+ACTION!$K$49)^C57+(ACTION!$K$19-ACTION!$K$30)*((1-ACTION!$K$47)^$C57)*ACTION!$K$20*(1+ACTION!$K$50)^C57+ACTION!K$21</f>
        <v>53760.396745014812</v>
      </c>
      <c r="H18" s="110">
        <f>-ACTION!K$27*((1+ACTION!$K$42)^C18)</f>
        <v>-1040.0597308848521</v>
      </c>
      <c r="I18" s="21">
        <f t="shared" si="0"/>
        <v>52720.33701412996</v>
      </c>
      <c r="J18" s="21">
        <f>IF(C18&gt;ACTION!$K$11,"",+I18+J17)</f>
        <v>285302.37798837712</v>
      </c>
      <c r="K18" s="66" t="str">
        <f t="shared" si="1"/>
        <v xml:space="preserve"> </v>
      </c>
      <c r="L18" s="94">
        <f>IF(C18&gt;ACTION!K$11,"",IF(ISERROR(IRR($I$5:I18)),"",IRR($I$5:I18)))</f>
        <v>8.7217554428159261E-2</v>
      </c>
      <c r="M18" s="95">
        <f>IF(C18&gt;ACTION!K$11,"",NPV(ACTION!$K$53,I$6:I18)+M$5)</f>
        <v>85952.273220398463</v>
      </c>
      <c r="N18" s="11"/>
      <c r="O18" s="11"/>
      <c r="P18" s="28"/>
      <c r="Q18" s="1"/>
    </row>
    <row r="19" spans="2:17" x14ac:dyDescent="0.2">
      <c r="B19" s="1"/>
      <c r="C19" s="20">
        <f t="shared" si="2"/>
        <v>14</v>
      </c>
      <c r="D19" s="21"/>
      <c r="E19" s="21"/>
      <c r="F19" s="21">
        <f>-IF(MOD(C19,ACTION!$K$23)=0,ACTION!$K$22*(1+ACTION!$K$42)^C19,0)</f>
        <v>0</v>
      </c>
      <c r="G19" s="21">
        <f>(ACTION!$K$14-ACTION!$K$26)*((1-ACTION!$K$45)^$C58)*ACTION!$K$43*(1+ACTION!$K$48)^C58+(ACTION!$K$16-ACTION!$K$29)*((1-ACTION!$K$46)^$C58)*ACTION!$K$17*(1+ACTION!$K$49)^C58+(ACTION!$K$19-ACTION!$K$30)*((1-ACTION!$K$47)^$C58)*ACTION!$K$20*(1+ACTION!$K$50)^C58+ACTION!K$21</f>
        <v>53755.068605340311</v>
      </c>
      <c r="H19" s="110">
        <f>-ACTION!K$27*((1+ACTION!$K$42)^C19)</f>
        <v>-1060.8609255025492</v>
      </c>
      <c r="I19" s="21">
        <f t="shared" si="0"/>
        <v>52694.20767983776</v>
      </c>
      <c r="J19" s="21">
        <f>IF(C19&gt;ACTION!$K$11,"",+I19+J18)</f>
        <v>337996.58566821489</v>
      </c>
      <c r="K19" s="66" t="str">
        <f t="shared" si="1"/>
        <v xml:space="preserve"> </v>
      </c>
      <c r="L19" s="94">
        <f>IF(C19&gt;ACTION!K$11,"",IF(ISERROR(IRR($I$5:I19)),"",IRR($I$5:I19)))</f>
        <v>9.4326200882197675E-2</v>
      </c>
      <c r="M19" s="95">
        <f>IF(C19&gt;ACTION!K$11,"",NPV(ACTION!$K$53,I$6:I19)+M$5)</f>
        <v>111524.3313015828</v>
      </c>
      <c r="N19" s="11"/>
      <c r="O19" s="11"/>
      <c r="P19" s="28"/>
      <c r="Q19" s="1"/>
    </row>
    <row r="20" spans="2:17" x14ac:dyDescent="0.2">
      <c r="B20" s="1"/>
      <c r="C20" s="20">
        <f t="shared" si="2"/>
        <v>15</v>
      </c>
      <c r="D20" s="21"/>
      <c r="E20" s="21"/>
      <c r="F20" s="21">
        <f>-IF(MOD(C20,ACTION!$K$23)=0,ACTION!$K$22*(1+ACTION!$K$42)^C20,0)</f>
        <v>0</v>
      </c>
      <c r="G20" s="21">
        <f>(ACTION!$K$14-ACTION!$K$26)*((1-ACTION!$K$45)^$C59)*ACTION!$K$43*(1+ACTION!$K$48)^C59+(ACTION!$K$16-ACTION!$K$29)*((1-ACTION!$K$46)^$C59)*ACTION!$K$17*(1+ACTION!$K$49)^C59+(ACTION!$K$19-ACTION!$K$30)*((1-ACTION!$K$47)^$C59)*ACTION!$K$20*(1+ACTION!$K$50)^C59+ACTION!K$21</f>
        <v>53749.740998479785</v>
      </c>
      <c r="H20" s="110">
        <f>-ACTION!K$27*((1+ACTION!$K$42)^C20)</f>
        <v>-1082.0781440126</v>
      </c>
      <c r="I20" s="21">
        <f t="shared" si="0"/>
        <v>52667.662854467184</v>
      </c>
      <c r="J20" s="21">
        <f>IF(C20&gt;ACTION!$K$11,"",+I20+J19)</f>
        <v>390664.24852268206</v>
      </c>
      <c r="K20" s="66" t="str">
        <f t="shared" si="1"/>
        <v xml:space="preserve"> </v>
      </c>
      <c r="L20" s="94">
        <f>IF(C20&gt;ACTION!K$11,"",IF(ISERROR(IRR($I$5:I20)),"",IRR($I$5:I20)))</f>
        <v>0.10011887333328451</v>
      </c>
      <c r="M20" s="95">
        <f>IF(C20&gt;ACTION!K$11,"",NPV(ACTION!$K$53,I$6:I20)+M$5)</f>
        <v>135797.05314350047</v>
      </c>
      <c r="N20" s="11"/>
      <c r="O20" s="11"/>
      <c r="P20" s="28"/>
      <c r="Q20" s="1"/>
    </row>
    <row r="21" spans="2:17" x14ac:dyDescent="0.2">
      <c r="B21" s="1"/>
      <c r="C21" s="20">
        <f t="shared" si="2"/>
        <v>16</v>
      </c>
      <c r="D21" s="21"/>
      <c r="E21" s="21"/>
      <c r="F21" s="21">
        <f>-IF(MOD(C21,ACTION!$K$23)=0,ACTION!$K$22*(1+ACTION!$K$42)^C21,0)</f>
        <v>-1.372785705090612</v>
      </c>
      <c r="G21" s="21">
        <f>(ACTION!$K$14-ACTION!$K$26)*((1-ACTION!$K$45)^$C60)*ACTION!$K$43*(1+ACTION!$K$48)^C60+(ACTION!$K$16-ACTION!$K$29)*((1-ACTION!$K$46)^$C60)*ACTION!$K$17*(1+ACTION!$K$49)^C60+(ACTION!$K$19-ACTION!$K$30)*((1-ACTION!$K$47)^$C60)*ACTION!$K$20*(1+ACTION!$K$50)^C60+ACTION!K$21</f>
        <v>53744.413924379922</v>
      </c>
      <c r="H21" s="110">
        <f>-ACTION!K$27*((1+ACTION!$K$42)^C21)</f>
        <v>-1103.7197068928522</v>
      </c>
      <c r="I21" s="21">
        <f t="shared" si="0"/>
        <v>52639.32143178198</v>
      </c>
      <c r="J21" s="21" t="str">
        <f>IF(C21&gt;ACTION!$K$11,"",+I21+J20)</f>
        <v/>
      </c>
      <c r="K21" s="66" t="str">
        <f t="shared" si="1"/>
        <v xml:space="preserve"> </v>
      </c>
      <c r="L21" s="94" t="str">
        <f>IF(C21&gt;ACTION!K$11,"",IF(ISERROR(IRR($I$5:I21)),"",IRR($I$5:I21)))</f>
        <v/>
      </c>
      <c r="M21" s="95" t="str">
        <f>IF(C21&gt;ACTION!K$11,"",NPV(ACTION!$K$53,I$6:I21)+M$5)</f>
        <v/>
      </c>
      <c r="N21" s="11"/>
      <c r="O21" s="11"/>
      <c r="P21" s="28"/>
      <c r="Q21" s="1"/>
    </row>
    <row r="22" spans="2:17" x14ac:dyDescent="0.2">
      <c r="B22" s="1"/>
      <c r="C22" s="20">
        <f t="shared" si="2"/>
        <v>17</v>
      </c>
      <c r="D22" s="21"/>
      <c r="E22" s="21"/>
      <c r="F22" s="21">
        <f>-IF(MOD(C22,ACTION!$K$23)=0,ACTION!$K$22*(1+ACTION!$K$42)^C22,0)</f>
        <v>0</v>
      </c>
      <c r="G22" s="21">
        <f>(ACTION!$K$14-ACTION!$K$26)*((1-ACTION!$K$45)^$C61)*ACTION!$K$43*(1+ACTION!$K$48)^C61+(ACTION!$K$16-ACTION!$K$29)*((1-ACTION!$K$46)^$C61)*ACTION!$K$17*(1+ACTION!$K$49)^C61+(ACTION!$K$19-ACTION!$K$30)*((1-ACTION!$K$47)^$C61)*ACTION!$K$20*(1+ACTION!$K$50)^C61+ACTION!K$21</f>
        <v>53739.087382987491</v>
      </c>
      <c r="H22" s="110">
        <f>-ACTION!K$27*((1+ACTION!$K$42)^C22)</f>
        <v>-1125.7941010307093</v>
      </c>
      <c r="I22" s="21">
        <f t="shared" si="0"/>
        <v>52613.29328195678</v>
      </c>
      <c r="J22" s="21" t="str">
        <f>IF(C22&gt;ACTION!$K$11,"",+I22+J21)</f>
        <v/>
      </c>
      <c r="K22" s="66" t="str">
        <f t="shared" si="1"/>
        <v xml:space="preserve"> </v>
      </c>
      <c r="L22" s="94" t="str">
        <f>IF(C22&gt;ACTION!K$11,"",IF(ISERROR(IRR($I$5:I22)),"",IRR($I$5:I22)))</f>
        <v/>
      </c>
      <c r="M22" s="95" t="str">
        <f>IF(C22&gt;ACTION!K$11,"",NPV(ACTION!$K$53,I$6:I22)+M$5)</f>
        <v/>
      </c>
      <c r="N22" s="11"/>
      <c r="O22" s="11"/>
      <c r="P22" s="28"/>
      <c r="Q22" s="1"/>
    </row>
    <row r="23" spans="2:17" x14ac:dyDescent="0.2">
      <c r="B23" s="1"/>
      <c r="C23" s="20">
        <f t="shared" si="2"/>
        <v>18</v>
      </c>
      <c r="D23" s="21"/>
      <c r="E23" s="21"/>
      <c r="F23" s="21">
        <f>-IF(MOD(C23,ACTION!$K$23)=0,ACTION!$K$22*(1+ACTION!$K$42)^C23,0)</f>
        <v>0</v>
      </c>
      <c r="G23" s="21">
        <f>(ACTION!$K$14-ACTION!$K$26)*((1-ACTION!$K$45)^$C62)*ACTION!$K$43*(1+ACTION!$K$48)^C62+(ACTION!$K$16-ACTION!$K$29)*((1-ACTION!$K$46)^$C62)*ACTION!$K$17*(1+ACTION!$K$49)^C62+(ACTION!$K$19-ACTION!$K$30)*((1-ACTION!$K$47)^$C62)*ACTION!$K$20*(1+ACTION!$K$50)^C62+ACTION!K$21</f>
        <v>53733.761374249203</v>
      </c>
      <c r="H23" s="110">
        <f>-ACTION!K$27*((1+ACTION!$K$42)^C23)</f>
        <v>-1148.3099830513233</v>
      </c>
      <c r="I23" s="21">
        <f t="shared" si="0"/>
        <v>52585.451391197879</v>
      </c>
      <c r="J23" s="21" t="str">
        <f>IF(C23&gt;ACTION!$K$11,"",+I23+J22)</f>
        <v/>
      </c>
      <c r="K23" s="66" t="str">
        <f t="shared" si="1"/>
        <v xml:space="preserve"> </v>
      </c>
      <c r="L23" s="94" t="str">
        <f>IF(C23&gt;ACTION!K$11,"",IF(ISERROR(IRR($I$5:I23)),"",IRR($I$5:I23)))</f>
        <v/>
      </c>
      <c r="M23" s="95" t="str">
        <f>IF(C23&gt;ACTION!K$11,"",NPV(ACTION!$K$53,I$6:I23)+M$5)</f>
        <v/>
      </c>
      <c r="N23" s="11"/>
      <c r="O23" s="11"/>
      <c r="P23" s="28"/>
      <c r="Q23" s="1"/>
    </row>
    <row r="24" spans="2:17" x14ac:dyDescent="0.2">
      <c r="B24" s="1"/>
      <c r="C24" s="20">
        <f t="shared" si="2"/>
        <v>19</v>
      </c>
      <c r="D24" s="21"/>
      <c r="E24" s="21"/>
      <c r="F24" s="21">
        <f>-IF(MOD(C24,ACTION!$K$23)=0,ACTION!$K$22*(1+ACTION!$K$42)^C24,0)</f>
        <v>0</v>
      </c>
      <c r="G24" s="21">
        <f>(ACTION!$K$14-ACTION!$K$26)*((1-ACTION!$K$45)^$C63)*ACTION!$K$43*(1+ACTION!$K$48)^C63+(ACTION!$K$16-ACTION!$K$29)*((1-ACTION!$K$46)^$C63)*ACTION!$K$17*(1+ACTION!$K$49)^C63+(ACTION!$K$19-ACTION!$K$30)*((1-ACTION!$K$47)^$C63)*ACTION!$K$20*(1+ACTION!$K$50)^C63+ACTION!K$21</f>
        <v>53728.435898111777</v>
      </c>
      <c r="H24" s="110">
        <f>-ACTION!K$27*((1+ACTION!$K$42)^C24)</f>
        <v>-1171.2761827123497</v>
      </c>
      <c r="I24" s="21">
        <f t="shared" si="0"/>
        <v>52557.15971539943</v>
      </c>
      <c r="J24" s="21" t="str">
        <f>IF(C24&gt;ACTION!$K$11,"",+I24+J23)</f>
        <v/>
      </c>
      <c r="K24" s="66" t="str">
        <f t="shared" si="1"/>
        <v xml:space="preserve"> </v>
      </c>
      <c r="L24" s="94" t="str">
        <f>IF(C24&gt;ACTION!K$11,"",IF(ISERROR(IRR($I$5:I24)),"",IRR($I$5:I24)))</f>
        <v/>
      </c>
      <c r="M24" s="95" t="str">
        <f>IF(C24&gt;ACTION!K$11,"",NPV(ACTION!$K$53,I$6:I24)+M$5)</f>
        <v/>
      </c>
      <c r="N24" s="11"/>
      <c r="O24" s="11"/>
      <c r="P24" s="28"/>
      <c r="Q24" s="1"/>
    </row>
    <row r="25" spans="2:17" x14ac:dyDescent="0.2">
      <c r="B25" s="1"/>
      <c r="C25" s="20">
        <f t="shared" si="2"/>
        <v>20</v>
      </c>
      <c r="D25" s="21"/>
      <c r="E25" s="21"/>
      <c r="F25" s="21">
        <f>-IF(MOD(C25,ACTION!$K$23)=0,ACTION!$K$22*(1+ACTION!$K$42)^C25,0)</f>
        <v>-1.4859473959783542</v>
      </c>
      <c r="G25" s="21">
        <f>(ACTION!$K$14-ACTION!$K$26)*((1-ACTION!$K$45)^$C64)*ACTION!$K$43*(1+ACTION!$K$48)^C64+(ACTION!$K$16-ACTION!$K$29)*((1-ACTION!$K$46)^$C64)*ACTION!$K$17*(1+ACTION!$K$49)^C64+(ACTION!$K$19-ACTION!$K$30)*((1-ACTION!$K$47)^$C64)*ACTION!$K$20*(1+ACTION!$K$50)^C64+ACTION!K$21</f>
        <v>53723.110954521951</v>
      </c>
      <c r="H25" s="110">
        <f>-ACTION!K$27*((1+ACTION!$K$42)^C25)</f>
        <v>-1194.7017063665969</v>
      </c>
      <c r="I25" s="21">
        <f t="shared" si="0"/>
        <v>52526.923300759372</v>
      </c>
      <c r="J25" s="21" t="str">
        <f>IF(C25&gt;ACTION!$K$11,"",+I25+J24)</f>
        <v/>
      </c>
      <c r="K25" s="66" t="str">
        <f t="shared" ref="K25:K40" si="3">+IF(AND(J25&lt;0,J41&gt;0),C25," ")</f>
        <v xml:space="preserve"> </v>
      </c>
      <c r="L25" s="94" t="str">
        <f>IF(C25&gt;ACTION!K$11,"",IF(ISERROR(IRR($I$5:I25)),"",IRR($I$5:I25)))</f>
        <v/>
      </c>
      <c r="M25" s="95" t="str">
        <f>IF(C25&gt;ACTION!K$11,"",NPV(ACTION!$K$53,I$6:I25)+M$5)</f>
        <v/>
      </c>
      <c r="N25" s="11"/>
      <c r="O25" s="11"/>
      <c r="P25" s="28"/>
      <c r="Q25" s="1"/>
    </row>
    <row r="26" spans="2:17" x14ac:dyDescent="0.2">
      <c r="B26" s="1"/>
      <c r="C26" s="20">
        <f t="shared" si="2"/>
        <v>21</v>
      </c>
      <c r="D26" s="21"/>
      <c r="E26" s="21"/>
      <c r="F26" s="21">
        <f>-IF(MOD(C26,ACTION!$K$23)=0,ACTION!$K$22*(1+ACTION!$K$42)^C26,0)</f>
        <v>0</v>
      </c>
      <c r="G26" s="21">
        <f>(ACTION!$K$14-ACTION!$K$26)*((1-ACTION!$K$45)^$C65)*ACTION!$K$43*(1+ACTION!$K$48)^C65+(ACTION!$K$16-ACTION!$K$29)*((1-ACTION!$K$46)^$C65)*ACTION!$K$17*(1+ACTION!$K$49)^C65+(ACTION!$K$19-ACTION!$K$30)*((1-ACTION!$K$47)^$C65)*ACTION!$K$20*(1+ACTION!$K$50)^C65+ACTION!K$21</f>
        <v>53717.786543426504</v>
      </c>
      <c r="H26" s="110">
        <f>-ACTION!K$27*((1+ACTION!$K$42)^C26)</f>
        <v>-1218.5957404939286</v>
      </c>
      <c r="I26" s="21">
        <f t="shared" si="0"/>
        <v>52499.190802932579</v>
      </c>
      <c r="J26" s="21" t="str">
        <f>IF(C26&gt;ACTION!$K$11,"",+I26+J25)</f>
        <v/>
      </c>
      <c r="K26" s="66" t="str">
        <f t="shared" si="3"/>
        <v xml:space="preserve"> </v>
      </c>
      <c r="L26" s="94" t="str">
        <f>IF(C26&gt;ACTION!K$11,"",IF(ISERROR(IRR($I$5:I26)),"",IRR($I$5:I26)))</f>
        <v/>
      </c>
      <c r="M26" s="95" t="str">
        <f>IF(C26&gt;ACTION!K$11,"",NPV(ACTION!$K$53,I$6:I26)+M$5)</f>
        <v/>
      </c>
      <c r="N26" s="11"/>
      <c r="O26" s="11"/>
      <c r="P26" s="28"/>
      <c r="Q26" s="1"/>
    </row>
    <row r="27" spans="2:17" x14ac:dyDescent="0.2">
      <c r="B27" s="1"/>
      <c r="C27" s="20">
        <f t="shared" si="2"/>
        <v>22</v>
      </c>
      <c r="D27" s="21"/>
      <c r="E27" s="21"/>
      <c r="F27" s="21">
        <f>-IF(MOD(C27,ACTION!$K$23)=0,ACTION!$K$22*(1+ACTION!$K$42)^C27,0)</f>
        <v>0</v>
      </c>
      <c r="G27" s="21">
        <f>(ACTION!$K$14-ACTION!$K$26)*((1-ACTION!$K$45)^$C66)*ACTION!$K$43*(1+ACTION!$K$48)^C66+(ACTION!$K$16-ACTION!$K$29)*((1-ACTION!$K$46)^$C66)*ACTION!$K$17*(1+ACTION!$K$49)^C66+(ACTION!$K$19-ACTION!$K$30)*((1-ACTION!$K$47)^$C66)*ACTION!$K$20*(1+ACTION!$K$50)^C66+ACTION!K$21</f>
        <v>53712.462664772152</v>
      </c>
      <c r="H27" s="110">
        <f>-ACTION!K$27*((1+ACTION!$K$42)^C27)</f>
        <v>-1242.9676553038073</v>
      </c>
      <c r="I27" s="21">
        <f t="shared" si="0"/>
        <v>52469.495009468345</v>
      </c>
      <c r="J27" s="21" t="str">
        <f>IF(C27&gt;ACTION!$K$11,"",+I27+J26)</f>
        <v/>
      </c>
      <c r="K27" s="66" t="str">
        <f t="shared" si="3"/>
        <v xml:space="preserve"> </v>
      </c>
      <c r="L27" s="94" t="str">
        <f>IF(C27&gt;ACTION!K$11,"",IF(ISERROR(IRR($I$5:I27)),"",IRR($I$5:I27)))</f>
        <v/>
      </c>
      <c r="M27" s="95" t="str">
        <f>IF(C27&gt;ACTION!K$11,"",NPV(ACTION!$K$53,I$6:I27)+M$5)</f>
        <v/>
      </c>
      <c r="N27" s="11"/>
      <c r="O27" s="11"/>
      <c r="P27" s="28"/>
      <c r="Q27" s="1"/>
    </row>
    <row r="28" spans="2:17" x14ac:dyDescent="0.2">
      <c r="B28" s="1"/>
      <c r="C28" s="20">
        <f t="shared" si="2"/>
        <v>23</v>
      </c>
      <c r="D28" s="21"/>
      <c r="E28" s="21"/>
      <c r="F28" s="21">
        <f>-IF(MOD(C28,ACTION!$K$23)=0,ACTION!$K$22*(1+ACTION!$K$42)^C28,0)</f>
        <v>0</v>
      </c>
      <c r="G28" s="21">
        <f>(ACTION!$K$14-ACTION!$K$26)*((1-ACTION!$K$45)^$C67)*ACTION!$K$43*(1+ACTION!$K$48)^C67+(ACTION!$K$16-ACTION!$K$29)*((1-ACTION!$K$46)^$C67)*ACTION!$K$17*(1+ACTION!$K$49)^C67+(ACTION!$K$19-ACTION!$K$30)*((1-ACTION!$K$47)^$C67)*ACTION!$K$20*(1+ACTION!$K$50)^C67+ACTION!K$21</f>
        <v>53707.139318505688</v>
      </c>
      <c r="H28" s="110">
        <f>-ACTION!K$27*((1+ACTION!$K$42)^C28)</f>
        <v>-1267.8270084098833</v>
      </c>
      <c r="I28" s="21">
        <f t="shared" si="0"/>
        <v>52439.312310095804</v>
      </c>
      <c r="J28" s="21" t="str">
        <f>IF(C28&gt;ACTION!$K$11,"",+I28+J27)</f>
        <v/>
      </c>
      <c r="K28" s="66" t="str">
        <f t="shared" si="3"/>
        <v xml:space="preserve"> </v>
      </c>
      <c r="L28" s="94" t="str">
        <f>IF(C28&gt;ACTION!K$11,"",IF(ISERROR(IRR($I$5:I28)),"",IRR($I$5:I28)))</f>
        <v/>
      </c>
      <c r="M28" s="95" t="str">
        <f>IF(C28&gt;ACTION!K$11,"",NPV(ACTION!$K$53,I$6:I28)+M$5)</f>
        <v/>
      </c>
      <c r="N28" s="11"/>
      <c r="O28" s="11"/>
      <c r="P28" s="28"/>
      <c r="Q28" s="1"/>
    </row>
    <row r="29" spans="2:17" x14ac:dyDescent="0.2">
      <c r="B29" s="1"/>
      <c r="C29" s="20">
        <f t="shared" si="2"/>
        <v>24</v>
      </c>
      <c r="D29" s="21"/>
      <c r="E29" s="21"/>
      <c r="F29" s="21">
        <f>-IF(MOD(C29,ACTION!$K$23)=0,ACTION!$K$22*(1+ACTION!$K$42)^C29,0)</f>
        <v>-1.608437249475225</v>
      </c>
      <c r="G29" s="21">
        <f>(ACTION!$K$14-ACTION!$K$26)*((1-ACTION!$K$45)^$C68)*ACTION!$K$43*(1+ACTION!$K$48)^C68+(ACTION!$K$16-ACTION!$K$29)*((1-ACTION!$K$46)^$C68)*ACTION!$K$17*(1+ACTION!$K$49)^C68+(ACTION!$K$19-ACTION!$K$30)*((1-ACTION!$K$47)^$C68)*ACTION!$K$20*(1+ACTION!$K$50)^C68+ACTION!K$21</f>
        <v>53701.816504573835</v>
      </c>
      <c r="H29" s="110">
        <f>-ACTION!K$27*((1+ACTION!$K$42)^C29)</f>
        <v>-1293.1835485780809</v>
      </c>
      <c r="I29" s="21">
        <f t="shared" si="0"/>
        <v>52407.024518746279</v>
      </c>
      <c r="J29" s="21" t="str">
        <f>IF(C29&gt;ACTION!$K$11,"",+I29+J28)</f>
        <v/>
      </c>
      <c r="K29" s="66" t="str">
        <f t="shared" si="3"/>
        <v xml:space="preserve"> </v>
      </c>
      <c r="L29" s="94" t="str">
        <f>IF(C29&gt;ACTION!K$11,"",IF(ISERROR(IRR($I$5:I29)),"",IRR($I$5:I29)))</f>
        <v/>
      </c>
      <c r="M29" s="95" t="str">
        <f>IF(C29&gt;ACTION!K$11,"",NPV(ACTION!$K$53,I$6:I29)+M$5)</f>
        <v/>
      </c>
      <c r="N29" s="11"/>
      <c r="O29" s="11"/>
      <c r="P29" s="28"/>
      <c r="Q29" s="1"/>
    </row>
    <row r="30" spans="2:17" x14ac:dyDescent="0.2">
      <c r="B30" s="1"/>
      <c r="C30" s="20">
        <f t="shared" si="2"/>
        <v>25</v>
      </c>
      <c r="D30" s="21"/>
      <c r="E30" s="21"/>
      <c r="F30" s="21">
        <f>-IF(MOD(C30,ACTION!$K$23)=0,ACTION!$K$22*(1+ACTION!$K$42)^C30,0)</f>
        <v>0</v>
      </c>
      <c r="G30" s="21">
        <f>(ACTION!$K$14-ACTION!$K$26)*((1-ACTION!$K$45)^$C69)*ACTION!$K$43*(1+ACTION!$K$48)^C69+(ACTION!$K$16-ACTION!$K$29)*((1-ACTION!$K$46)^$C69)*ACTION!$K$17*(1+ACTION!$K$49)^C69+(ACTION!$K$19-ACTION!$K$30)*((1-ACTION!$K$47)^$C69)*ACTION!$K$20*(1+ACTION!$K$50)^C69+ACTION!K$21</f>
        <v>53696.494222923386</v>
      </c>
      <c r="H30" s="110">
        <f>-ACTION!K$27*((1+ACTION!$K$42)^C30)</f>
        <v>-1319.0472195496425</v>
      </c>
      <c r="I30" s="21">
        <f t="shared" si="0"/>
        <v>52377.447003373745</v>
      </c>
      <c r="J30" s="21" t="str">
        <f>IF(C30&gt;ACTION!$K$11,"",+I30+J29)</f>
        <v/>
      </c>
      <c r="K30" s="66" t="str">
        <f t="shared" si="3"/>
        <v xml:space="preserve"> </v>
      </c>
      <c r="L30" s="94" t="str">
        <f>IF(C30&gt;ACTION!K$11,"",IF(ISERROR(IRR($I$5:I30)),"",IRR($I$5:I30)))</f>
        <v/>
      </c>
      <c r="M30" s="95" t="str">
        <f>IF(C30&gt;ACTION!K$11,"",NPV(ACTION!$K$53,I$6:I30)+M$5)</f>
        <v/>
      </c>
      <c r="N30" s="11"/>
      <c r="O30" s="11"/>
      <c r="P30" s="28"/>
      <c r="Q30" s="1"/>
    </row>
    <row r="31" spans="2:17" x14ac:dyDescent="0.2">
      <c r="B31" s="1"/>
      <c r="C31" s="20">
        <f t="shared" si="2"/>
        <v>26</v>
      </c>
      <c r="D31" s="21"/>
      <c r="E31" s="21"/>
      <c r="F31" s="21">
        <f>-IF(MOD(C31,ACTION!$K$23)=0,ACTION!$K$22*(1+ACTION!$K$42)^C31,0)</f>
        <v>0</v>
      </c>
      <c r="G31" s="21">
        <f>(ACTION!$K$14-ACTION!$K$26)*((1-ACTION!$K$45)^$C70)*ACTION!$K$43*(1+ACTION!$K$48)^C70+(ACTION!$K$16-ACTION!$K$29)*((1-ACTION!$K$46)^$C70)*ACTION!$K$17*(1+ACTION!$K$49)^C70+(ACTION!$K$19-ACTION!$K$30)*((1-ACTION!$K$47)^$C70)*ACTION!$K$20*(1+ACTION!$K$50)^C70+ACTION!K$21</f>
        <v>53691.172473501101</v>
      </c>
      <c r="H31" s="110">
        <f>-ACTION!K$27*((1+ACTION!$K$42)^C31)</f>
        <v>-1345.4281639406356</v>
      </c>
      <c r="I31" s="21">
        <f t="shared" si="0"/>
        <v>52345.744309560469</v>
      </c>
      <c r="J31" s="21" t="str">
        <f>IF(C31&gt;ACTION!$K$11,"",+I31+J30)</f>
        <v/>
      </c>
      <c r="K31" s="66" t="str">
        <f t="shared" si="3"/>
        <v xml:space="preserve"> </v>
      </c>
      <c r="L31" s="94" t="str">
        <f>IF(C31&gt;ACTION!K$11,"",IF(ISERROR(IRR($I$5:I31)),"",IRR($I$5:I31)))</f>
        <v/>
      </c>
      <c r="M31" s="95" t="str">
        <f>IF(C31&gt;ACTION!K$11,"",NPV(ACTION!$K$53,I$6:I31)+M$5)</f>
        <v/>
      </c>
      <c r="N31" s="11"/>
      <c r="O31" s="11"/>
      <c r="P31" s="28"/>
      <c r="Q31" s="1"/>
    </row>
    <row r="32" spans="2:17" x14ac:dyDescent="0.2">
      <c r="B32" s="1"/>
      <c r="C32" s="20">
        <f t="shared" si="2"/>
        <v>27</v>
      </c>
      <c r="D32" s="21"/>
      <c r="E32" s="21"/>
      <c r="F32" s="21">
        <f>-IF(MOD(C32,ACTION!$K$23)=0,ACTION!$K$22*(1+ACTION!$K$42)^C32,0)</f>
        <v>0</v>
      </c>
      <c r="G32" s="21">
        <f>(ACTION!$K$14-ACTION!$K$26)*((1-ACTION!$K$45)^$C71)*ACTION!$K$43*(1+ACTION!$K$48)^C71+(ACTION!$K$16-ACTION!$K$29)*((1-ACTION!$K$46)^$C71)*ACTION!$K$17*(1+ACTION!$K$49)^C71+(ACTION!$K$19-ACTION!$K$30)*((1-ACTION!$K$47)^$C71)*ACTION!$K$20*(1+ACTION!$K$50)^C71+ACTION!K$21</f>
        <v>53685.851256253743</v>
      </c>
      <c r="H32" s="110">
        <f>-ACTION!K$27*((1+ACTION!$K$42)^C32)</f>
        <v>-1372.336727219448</v>
      </c>
      <c r="I32" s="21">
        <f t="shared" si="0"/>
        <v>52313.514529034299</v>
      </c>
      <c r="J32" s="21" t="str">
        <f>IF(C32&gt;ACTION!$K$11,"",+I32+J31)</f>
        <v/>
      </c>
      <c r="K32" s="66" t="str">
        <f t="shared" si="3"/>
        <v xml:space="preserve"> </v>
      </c>
      <c r="L32" s="94" t="str">
        <f>IF(C32&gt;ACTION!K$11,"",IF(ISERROR(IRR($I$5:I32)),"",IRR($I$5:I32)))</f>
        <v/>
      </c>
      <c r="M32" s="95" t="str">
        <f>IF(C32&gt;ACTION!K$11,"",NPV(ACTION!$K$53,I$6:I32)+M$5)</f>
        <v/>
      </c>
      <c r="N32" s="11"/>
      <c r="O32" s="11"/>
      <c r="P32" s="28"/>
      <c r="Q32" s="1"/>
    </row>
    <row r="33" spans="2:17" x14ac:dyDescent="0.2">
      <c r="B33" s="1"/>
      <c r="C33" s="20">
        <f t="shared" si="2"/>
        <v>28</v>
      </c>
      <c r="D33" s="21"/>
      <c r="E33" s="21"/>
      <c r="F33" s="21">
        <f>-IF(MOD(C33,ACTION!$K$23)=0,ACTION!$K$22*(1+ACTION!$K$42)^C33,0)</f>
        <v>-1.7410242061739269</v>
      </c>
      <c r="G33" s="21">
        <f>(ACTION!$K$14-ACTION!$K$26)*((1-ACTION!$K$45)^$C72)*ACTION!$K$43*(1+ACTION!$K$48)^C72+(ACTION!$K$16-ACTION!$K$29)*((1-ACTION!$K$46)^$C72)*ACTION!$K$17*(1+ACTION!$K$49)^C72+(ACTION!$K$19-ACTION!$K$30)*((1-ACTION!$K$47)^$C72)*ACTION!$K$20*(1+ACTION!$K$50)^C72+ACTION!K$21</f>
        <v>53680.530571128103</v>
      </c>
      <c r="H33" s="110">
        <f>-ACTION!K$27*((1+ACTION!$K$42)^C33)</f>
        <v>-1399.7834617638373</v>
      </c>
      <c r="I33" s="21">
        <f t="shared" si="0"/>
        <v>52279.006085158093</v>
      </c>
      <c r="J33" s="21" t="str">
        <f>IF(C33&gt;ACTION!$K$11,"",+I33+J32)</f>
        <v/>
      </c>
      <c r="K33" s="66" t="str">
        <f t="shared" si="3"/>
        <v xml:space="preserve"> </v>
      </c>
      <c r="L33" s="94" t="str">
        <f>IF(C33&gt;ACTION!K$11,"",IF(ISERROR(IRR($I$5:I33)),"",IRR($I$5:I33)))</f>
        <v/>
      </c>
      <c r="M33" s="95" t="str">
        <f>IF(C33&gt;ACTION!K$11,"",NPV(ACTION!$K$53,I$6:I33)+M$5)</f>
        <v/>
      </c>
      <c r="N33" s="11"/>
      <c r="O33" s="11"/>
      <c r="P33" s="28"/>
      <c r="Q33" s="1"/>
    </row>
    <row r="34" spans="2:17" x14ac:dyDescent="0.2">
      <c r="B34" s="1"/>
      <c r="C34" s="20">
        <f t="shared" si="2"/>
        <v>29</v>
      </c>
      <c r="D34" s="21"/>
      <c r="E34" s="21"/>
      <c r="F34" s="21">
        <f>-IF(MOD(C34,ACTION!$K$23)=0,ACTION!$K$22*(1+ACTION!$K$42)^C34,0)</f>
        <v>0</v>
      </c>
      <c r="G34" s="21">
        <f>(ACTION!$K$14-ACTION!$K$26)*((1-ACTION!$K$45)^$C73)*ACTION!$K$43*(1+ACTION!$K$48)^C73+(ACTION!$K$16-ACTION!$K$29)*((1-ACTION!$K$46)^$C73)*ACTION!$K$17*(1+ACTION!$K$49)^C73+(ACTION!$K$19-ACTION!$K$30)*((1-ACTION!$K$47)^$C73)*ACTION!$K$20*(1+ACTION!$K$50)^C73+ACTION!K$21</f>
        <v>53675.210418070994</v>
      </c>
      <c r="H34" s="110">
        <f>-ACTION!K$27*((1+ACTION!$K$42)^C34)</f>
        <v>-1427.7791309991137</v>
      </c>
      <c r="I34" s="21">
        <f t="shared" si="0"/>
        <v>52247.431287071879</v>
      </c>
      <c r="J34" s="21" t="str">
        <f>IF(C34&gt;ACTION!$K$11,"",+I34+J33)</f>
        <v/>
      </c>
      <c r="K34" s="66" t="str">
        <f t="shared" si="3"/>
        <v xml:space="preserve"> </v>
      </c>
      <c r="L34" s="94" t="str">
        <f>IF(C34&gt;ACTION!K$11,"",IF(ISERROR(IRR($I$5:I34)),"",IRR($I$5:I34)))</f>
        <v/>
      </c>
      <c r="M34" s="95" t="str">
        <f>IF(C34&gt;ACTION!K$11,"",NPV(ACTION!$K$53,I$6:I34)+M$5)</f>
        <v/>
      </c>
      <c r="N34" s="11"/>
      <c r="O34" s="11"/>
      <c r="P34" s="28"/>
      <c r="Q34" s="1"/>
    </row>
    <row r="35" spans="2:17" x14ac:dyDescent="0.2">
      <c r="B35" s="1"/>
      <c r="C35" s="20">
        <f t="shared" si="2"/>
        <v>30</v>
      </c>
      <c r="D35" s="21"/>
      <c r="E35" s="21"/>
      <c r="F35" s="21">
        <f>-IF(MOD(C35,ACTION!$K$23)=0,ACTION!$K$22*(1+ACTION!$K$42)^C35,0)</f>
        <v>0</v>
      </c>
      <c r="G35" s="21">
        <f>(ACTION!$K$14-ACTION!$K$26)*((1-ACTION!$K$45)^$C74)*ACTION!$K$43*(1+ACTION!$K$48)^C74+(ACTION!$K$16-ACTION!$K$29)*((1-ACTION!$K$46)^$C74)*ACTION!$K$17*(1+ACTION!$K$49)^C74+(ACTION!$K$19-ACTION!$K$30)*((1-ACTION!$K$47)^$C74)*ACTION!$K$20*(1+ACTION!$K$50)^C74+ACTION!K$21</f>
        <v>53669.890797029177</v>
      </c>
      <c r="H35" s="110">
        <f>-ACTION!K$27*((1+ACTION!$K$42)^C35)</f>
        <v>-1456.3347136190962</v>
      </c>
      <c r="I35" s="21">
        <f t="shared" si="0"/>
        <v>52213.556083410083</v>
      </c>
      <c r="J35" s="21" t="str">
        <f>IF(C35&gt;ACTION!$K$11,"",+I35+J34)</f>
        <v/>
      </c>
      <c r="K35" s="66" t="str">
        <f t="shared" si="3"/>
        <v xml:space="preserve"> </v>
      </c>
      <c r="L35" s="94" t="str">
        <f>IF(C35&gt;ACTION!K$11,"",IF(ISERROR(IRR($I$5:I35)),"",IRR($I$5:I35)))</f>
        <v/>
      </c>
      <c r="M35" s="95" t="str">
        <f>IF(C35&gt;ACTION!K$11,"",NPV(ACTION!$K$53,I$6:I35)+M$5)</f>
        <v/>
      </c>
      <c r="N35" s="11"/>
      <c r="O35" s="11"/>
      <c r="P35" s="28"/>
      <c r="Q35" s="1"/>
    </row>
    <row r="36" spans="2:17" x14ac:dyDescent="0.2">
      <c r="B36" s="1"/>
      <c r="C36" s="20">
        <f t="shared" si="2"/>
        <v>31</v>
      </c>
      <c r="D36" s="21"/>
      <c r="E36" s="21"/>
      <c r="F36" s="21">
        <f>-IF(MOD(C36,ACTION!$K$23)=0,ACTION!$K$22*(1+ACTION!$K$42)^C36,0)</f>
        <v>0</v>
      </c>
      <c r="G36" s="21">
        <f>(ACTION!$K$14-ACTION!$K$26)*((1-ACTION!$K$45)^$C75)*ACTION!$K$43*(1+ACTION!$K$48)^C75+(ACTION!$K$16-ACTION!$K$29)*((1-ACTION!$K$46)^$C75)*ACTION!$K$17*(1+ACTION!$K$49)^C75+(ACTION!$K$19-ACTION!$K$30)*((1-ACTION!$K$47)^$C75)*ACTION!$K$20*(1+ACTION!$K$50)^C75+ACTION!K$21</f>
        <v>53664.571707949493</v>
      </c>
      <c r="H36" s="110">
        <f>-ACTION!K$27*((1+ACTION!$K$42)^C36)</f>
        <v>-1485.4614078914778</v>
      </c>
      <c r="I36" s="21">
        <f t="shared" si="0"/>
        <v>52179.110300058019</v>
      </c>
      <c r="J36" s="21" t="str">
        <f>IF(C36&gt;ACTION!$K$11,"",+I36+J35)</f>
        <v/>
      </c>
      <c r="K36" s="66" t="str">
        <f t="shared" si="3"/>
        <v xml:space="preserve"> </v>
      </c>
      <c r="L36" s="94" t="str">
        <f>IF(C36&gt;ACTION!K$11,"",IF(ISERROR(IRR($I$5:I36)),"",IRR($I$5:I36)))</f>
        <v/>
      </c>
      <c r="M36" s="95" t="str">
        <f>IF(C36&gt;ACTION!K$11,"",NPV(ACTION!$K$53,I$6:I36)+M$5)</f>
        <v/>
      </c>
      <c r="N36" s="11"/>
      <c r="O36" s="11"/>
      <c r="P36" s="28"/>
      <c r="Q36" s="1"/>
    </row>
    <row r="37" spans="2:17" x14ac:dyDescent="0.2">
      <c r="B37" s="1"/>
      <c r="C37" s="20">
        <f t="shared" si="2"/>
        <v>32</v>
      </c>
      <c r="D37" s="21"/>
      <c r="E37" s="21"/>
      <c r="F37" s="21">
        <f>-IF(MOD(C37,ACTION!$K$23)=0,ACTION!$K$22*(1+ACTION!$K$42)^C37,0)</f>
        <v>-1.8845405921011289</v>
      </c>
      <c r="G37" s="21">
        <f>(ACTION!$K$14-ACTION!$K$26)*((1-ACTION!$K$45)^$C76)*ACTION!$K$43*(1+ACTION!$K$48)^C76+(ACTION!$K$16-ACTION!$K$29)*((1-ACTION!$K$46)^$C76)*ACTION!$K$17*(1+ACTION!$K$49)^C76+(ACTION!$K$19-ACTION!$K$30)*((1-ACTION!$K$47)^$C76)*ACTION!$K$20*(1+ACTION!$K$50)^C76+ACTION!K$21</f>
        <v>53659.253150778684</v>
      </c>
      <c r="H37" s="110">
        <f>-ACTION!K$27*((1+ACTION!$K$42)^C37)</f>
        <v>-1515.1706360493076</v>
      </c>
      <c r="I37" s="21">
        <f t="shared" si="0"/>
        <v>52142.197974137278</v>
      </c>
      <c r="J37" s="21" t="str">
        <f>IF(C37&gt;ACTION!$K$11,"",+I37+J36)</f>
        <v/>
      </c>
      <c r="K37" s="66" t="str">
        <f t="shared" si="3"/>
        <v xml:space="preserve"> </v>
      </c>
      <c r="L37" s="94" t="str">
        <f>IF(C37&gt;ACTION!K$11,"",IF(ISERROR(IRR($I$5:I37)),"",IRR($I$5:I37)))</f>
        <v/>
      </c>
      <c r="M37" s="95" t="str">
        <f>IF(C37&gt;ACTION!K$11,"",NPV(ACTION!$K$53,I$6:I37)+M$5)</f>
        <v/>
      </c>
      <c r="N37" s="11"/>
      <c r="O37" s="11"/>
      <c r="P37" s="28"/>
      <c r="Q37" s="1"/>
    </row>
    <row r="38" spans="2:17" x14ac:dyDescent="0.2">
      <c r="B38" s="1"/>
      <c r="C38" s="20">
        <f t="shared" si="2"/>
        <v>33</v>
      </c>
      <c r="D38" s="21"/>
      <c r="E38" s="21"/>
      <c r="F38" s="21">
        <f>-IF(MOD(C38,ACTION!$K$23)=0,ACTION!$K$22*(1+ACTION!$K$42)^C38,0)</f>
        <v>0</v>
      </c>
      <c r="G38" s="21">
        <f>(ACTION!$K$14-ACTION!$K$26)*((1-ACTION!$K$45)^$C77)*ACTION!$K$43*(1+ACTION!$K$48)^C77+(ACTION!$K$16-ACTION!$K$29)*((1-ACTION!$K$46)^$C77)*ACTION!$K$17*(1+ACTION!$K$49)^C77+(ACTION!$K$19-ACTION!$K$30)*((1-ACTION!$K$47)^$C77)*ACTION!$K$20*(1+ACTION!$K$50)^C77+ACTION!K$21</f>
        <v>53653.935125463613</v>
      </c>
      <c r="H38" s="110">
        <f>-ACTION!K$27*((1+ACTION!$K$42)^C38)</f>
        <v>-1545.4740487702938</v>
      </c>
      <c r="I38" s="21">
        <f t="shared" si="0"/>
        <v>52108.461076693318</v>
      </c>
      <c r="J38" s="21" t="str">
        <f>IF(C38&gt;ACTION!$K$11,"",+I38+J37)</f>
        <v/>
      </c>
      <c r="K38" s="66" t="str">
        <f t="shared" si="3"/>
        <v xml:space="preserve"> </v>
      </c>
      <c r="L38" s="94" t="str">
        <f>IF(C38&gt;ACTION!K$11,"",IF(ISERROR(IRR($I$5:I38)),"",IRR($I$5:I38)))</f>
        <v/>
      </c>
      <c r="M38" s="95" t="str">
        <f>IF(C38&gt;ACTION!K$11,"",NPV(ACTION!$K$53,I$6:I38)+M$5)</f>
        <v/>
      </c>
      <c r="N38" s="11"/>
      <c r="O38" s="11"/>
      <c r="P38" s="28"/>
      <c r="Q38" s="1"/>
    </row>
    <row r="39" spans="2:17" x14ac:dyDescent="0.2">
      <c r="B39" s="1"/>
      <c r="C39" s="20">
        <f t="shared" si="2"/>
        <v>34</v>
      </c>
      <c r="D39" s="21"/>
      <c r="E39" s="21"/>
      <c r="F39" s="21">
        <f>-IF(MOD(C39,ACTION!$K$23)=0,ACTION!$K$22*(1+ACTION!$K$42)^C39,0)</f>
        <v>0</v>
      </c>
      <c r="G39" s="21">
        <f>(ACTION!$K$14-ACTION!$K$26)*((1-ACTION!$K$45)^$C78)*ACTION!$K$43*(1+ACTION!$K$48)^C78+(ACTION!$K$16-ACTION!$K$29)*((1-ACTION!$K$46)^$C78)*ACTION!$K$17*(1+ACTION!$K$49)^C78+(ACTION!$K$19-ACTION!$K$30)*((1-ACTION!$K$47)^$C78)*ACTION!$K$20*(1+ACTION!$K$50)^C78+ACTION!K$21</f>
        <v>53648.617631951063</v>
      </c>
      <c r="H39" s="110">
        <f>-ACTION!K$27*((1+ACTION!$K$42)^C39)</f>
        <v>-1576.3835297456997</v>
      </c>
      <c r="I39" s="21">
        <f t="shared" si="0"/>
        <v>52072.234102205366</v>
      </c>
      <c r="J39" s="21" t="str">
        <f>IF(C39&gt;ACTION!$K$11,"",+I39+J38)</f>
        <v/>
      </c>
      <c r="K39" s="66" t="str">
        <f t="shared" si="3"/>
        <v xml:space="preserve"> </v>
      </c>
      <c r="L39" s="94" t="str">
        <f>IF(C39&gt;ACTION!K$11,"",IF(ISERROR(IRR($I$5:I39)),"",IRR($I$5:I39)))</f>
        <v/>
      </c>
      <c r="M39" s="95" t="str">
        <f>IF(C39&gt;ACTION!K$11,"",NPV(ACTION!$K$53,I$6:I39)+M$5)</f>
        <v/>
      </c>
      <c r="N39" s="11"/>
      <c r="O39" s="11"/>
      <c r="P39" s="28"/>
      <c r="Q39" s="1"/>
    </row>
    <row r="40" spans="2:17" x14ac:dyDescent="0.2">
      <c r="B40" s="1"/>
      <c r="C40" s="20">
        <f t="shared" si="2"/>
        <v>35</v>
      </c>
      <c r="D40" s="21"/>
      <c r="E40" s="21"/>
      <c r="F40" s="21">
        <f>-IF(MOD(C40,ACTION!$K$23)=0,ACTION!$K$22*(1+ACTION!$K$42)^C40,0)</f>
        <v>0</v>
      </c>
      <c r="G40" s="21">
        <f>(ACTION!$K$14-ACTION!$K$26)*((1-ACTION!$K$45)^$C79)*ACTION!$K$43*(1+ACTION!$K$48)^C79+(ACTION!$K$16-ACTION!$K$29)*((1-ACTION!$K$46)^$C79)*ACTION!$K$17*(1+ACTION!$K$49)^C79+(ACTION!$K$19-ACTION!$K$30)*((1-ACTION!$K$47)^$C79)*ACTION!$K$20*(1+ACTION!$K$50)^C79+ACTION!K$21</f>
        <v>53643.300670187877</v>
      </c>
      <c r="H40" s="110">
        <f>-ACTION!K$27*((1+ACTION!$K$42)^C40)</f>
        <v>-1607.9112003406135</v>
      </c>
      <c r="I40" s="21">
        <f t="shared" si="0"/>
        <v>52035.389469847265</v>
      </c>
      <c r="J40" s="21" t="str">
        <f>IF(C40&gt;ACTION!$K$11,"",+I40+J39)</f>
        <v/>
      </c>
      <c r="K40" s="66" t="str">
        <f t="shared" si="3"/>
        <v xml:space="preserve"> </v>
      </c>
      <c r="L40" s="94" t="str">
        <f>IF(C40&gt;ACTION!K$11,"",IF(ISERROR(IRR($I$5:I40)),"",IRR($I$5:I40)))</f>
        <v/>
      </c>
      <c r="M40" s="95" t="str">
        <f>IF(C40&gt;ACTION!K$11,"",NPV(ACTION!$K$53,I$6:I40)+M$5)</f>
        <v/>
      </c>
      <c r="N40" s="11"/>
      <c r="O40" s="11"/>
      <c r="P40" s="28"/>
      <c r="Q40" s="1"/>
    </row>
    <row r="41" spans="2:17" x14ac:dyDescent="0.2">
      <c r="B41" s="1"/>
      <c r="C41" s="88" t="s">
        <v>8</v>
      </c>
      <c r="D41" s="89">
        <f>SUM(D5:D25)</f>
        <v>-401956</v>
      </c>
      <c r="E41" s="87">
        <f>SUM(E6:E25)</f>
        <v>0</v>
      </c>
      <c r="F41" s="89">
        <f>SUM(F5:F40)</f>
        <v>-11.615068484384057</v>
      </c>
      <c r="G41" s="89">
        <f>SUM(G5:G40)</f>
        <v>1880682.5987914263</v>
      </c>
      <c r="H41" s="89">
        <f>SUM(H5:H40)</f>
        <v>-40999.471217371298</v>
      </c>
      <c r="I41" s="89">
        <f>SUM(I5:I39)</f>
        <v>1385680.1230357231</v>
      </c>
      <c r="J41" s="89"/>
      <c r="K41" s="89">
        <f>SUM(K5:K40)</f>
        <v>7</v>
      </c>
      <c r="L41" s="92">
        <f>MAX(L6:L40)</f>
        <v>0.10011887333328451</v>
      </c>
      <c r="M41" s="91">
        <f>MAX(M5:M40)</f>
        <v>135797.05314350047</v>
      </c>
      <c r="N41" s="11"/>
      <c r="O41" s="11"/>
      <c r="P41" s="28"/>
      <c r="Q41" s="1"/>
    </row>
    <row r="42" spans="2:17" x14ac:dyDescent="0.2">
      <c r="B42" s="1"/>
      <c r="C42" s="26"/>
      <c r="D42" s="27"/>
      <c r="E42" s="27"/>
      <c r="F42" s="27"/>
      <c r="G42" s="27"/>
      <c r="H42" s="27"/>
      <c r="I42" s="27"/>
      <c r="J42" s="27"/>
      <c r="K42" s="27"/>
      <c r="L42" s="27"/>
      <c r="M42" s="11"/>
      <c r="N42" s="11"/>
      <c r="O42" s="11"/>
      <c r="P42" s="28"/>
      <c r="Q42" s="1"/>
    </row>
    <row r="43" spans="2:17" x14ac:dyDescent="0.2">
      <c r="B43" s="1"/>
      <c r="C43" s="29" t="s">
        <v>44</v>
      </c>
      <c r="D43" s="30"/>
      <c r="E43" s="30"/>
      <c r="F43" s="30"/>
      <c r="G43" s="30"/>
      <c r="H43" s="30"/>
      <c r="I43" s="30"/>
      <c r="J43" s="30"/>
      <c r="K43" s="30"/>
      <c r="L43" s="30"/>
      <c r="M43" s="30"/>
      <c r="N43" s="30"/>
      <c r="O43" s="30"/>
      <c r="P43" s="31"/>
      <c r="Q43" s="1"/>
    </row>
    <row r="44" spans="2:17" ht="118.5" x14ac:dyDescent="0.2">
      <c r="B44" s="8"/>
      <c r="C44" s="56" t="s">
        <v>4</v>
      </c>
      <c r="D44" s="57" t="s">
        <v>60</v>
      </c>
      <c r="E44" s="57"/>
      <c r="F44" s="57" t="s">
        <v>100</v>
      </c>
      <c r="G44" s="57" t="s">
        <v>40</v>
      </c>
      <c r="H44" s="57" t="s">
        <v>47</v>
      </c>
      <c r="I44" s="57" t="s">
        <v>63</v>
      </c>
      <c r="J44" s="58" t="s">
        <v>51</v>
      </c>
      <c r="K44" s="58" t="s">
        <v>58</v>
      </c>
      <c r="L44" s="57" t="s">
        <v>45</v>
      </c>
      <c r="M44" s="59" t="s">
        <v>46</v>
      </c>
      <c r="N44" s="59" t="s">
        <v>98</v>
      </c>
      <c r="O44" s="57" t="s">
        <v>49</v>
      </c>
      <c r="P44" s="60" t="s">
        <v>0</v>
      </c>
      <c r="Q44" s="8"/>
    </row>
    <row r="45" spans="2:17" x14ac:dyDescent="0.2">
      <c r="B45" s="1"/>
      <c r="C45" s="20">
        <v>0</v>
      </c>
      <c r="D45" s="5">
        <f>-ACTION!J56</f>
        <v>-40195.600000000035</v>
      </c>
      <c r="E45" s="12"/>
      <c r="F45" s="12"/>
      <c r="G45" s="12"/>
      <c r="H45" s="34"/>
      <c r="I45" s="1"/>
      <c r="J45" s="43"/>
      <c r="K45" s="1"/>
      <c r="L45" s="21">
        <f>-ACTION!J56</f>
        <v>-40195.600000000035</v>
      </c>
      <c r="M45" s="21">
        <f>L45</f>
        <v>-40195.600000000035</v>
      </c>
      <c r="N45" s="66" t="str">
        <f t="shared" ref="N45:N64" si="4">+IF(AND(M45&lt;0,M46&gt;0),C45," ")</f>
        <v xml:space="preserve"> </v>
      </c>
      <c r="O45" s="93"/>
      <c r="P45" s="95">
        <f>M45</f>
        <v>-40195.600000000035</v>
      </c>
      <c r="Q45" s="1"/>
    </row>
    <row r="46" spans="2:17" x14ac:dyDescent="0.2">
      <c r="B46" s="1"/>
      <c r="C46" s="20">
        <v>1</v>
      </c>
      <c r="D46" s="23"/>
      <c r="E46" s="23"/>
      <c r="F46" s="21">
        <f>(ACTION!$K$14-ACTION!$K$26)*((1-ACTION!$K$45)^$C45)*ACTION!$K$43+(ACTION!$K$16-ACTION!$K$29)*((1-ACTION!$K$46)^$C45)*ACTION!$K$17+(ACTION!$K$19-ACTION!$K$30)*((1-ACTION!$K$47)^$C45)*ACTION!$K$20+ACTION!K$21</f>
        <v>53824.376000000004</v>
      </c>
      <c r="G46" s="21">
        <f>IF(C46&lt;=ACTION!$I$67,-F46*ACTION!I$65,0)</f>
        <v>-40368.282000000007</v>
      </c>
      <c r="H46" s="21">
        <f>-IF(C46&lt;=ACTION!$H$60,0,IF(C46&lt;=ACTION!$H$59,-PMT(ACTION!$H$58,ACTION!$H$59-ACTION!$H$60,ACTION!$H$56),0))</f>
        <v>-30892.825716422445</v>
      </c>
      <c r="I46" s="71"/>
      <c r="J46" s="21">
        <f>IF(C46&gt;ACTION!$I$67,-ACTION!K$27*((1+ACTION!$K$42)^C46),0)</f>
        <v>0</v>
      </c>
      <c r="K46" s="21">
        <f>-IF(MOD(C46,ACTION!$K$23)=0,ACTION!$K$22*(1+ACTION!$K$42)^C46,0)</f>
        <v>0</v>
      </c>
      <c r="L46" s="21">
        <f t="shared" ref="L46:L80" si="5">F46+G46+H46+I46+J46+K46</f>
        <v>-17436.731716422448</v>
      </c>
      <c r="M46" s="21">
        <f>IF(C46&gt;ACTION!$K$11,"",M45+L46)</f>
        <v>-57632.331716422486</v>
      </c>
      <c r="N46" s="66" t="str">
        <f t="shared" si="4"/>
        <v xml:space="preserve"> </v>
      </c>
      <c r="O46" s="94" t="str">
        <f>IF(ISERROR(IRR($L$45:L46)),"",IRR($L$45:L46))</f>
        <v/>
      </c>
      <c r="P46" s="95">
        <f>IF(C46&gt;ACTION!K$11,"",NPV(ACTION!$K$53,L$46:L46)+P$45)</f>
        <v>-56754.699445795333</v>
      </c>
      <c r="Q46" s="1"/>
    </row>
    <row r="47" spans="2:17" x14ac:dyDescent="0.2">
      <c r="B47" s="1"/>
      <c r="C47" s="20">
        <f t="shared" ref="C47:C80" si="6">C46+1</f>
        <v>2</v>
      </c>
      <c r="D47" s="23"/>
      <c r="E47" s="23"/>
      <c r="F47" s="21">
        <f>(ACTION!$K$14-ACTION!$K$26)*((1-ACTION!$K$45)^$C46)*ACTION!$K$43*(1+ACTION!$K$48)^C46+(ACTION!$K$16-ACTION!$K$29)*((1-ACTION!$K$46)^$C46)*ACTION!$K$17*(1+ACTION!$K$49)^C46+(ACTION!$K$19-ACTION!$K$30)*((1-ACTION!$K$47)^$C46)*ACTION!$K$20*(1+ACTION!$K$50)^C46+ACTION!K$21</f>
        <v>53819.041462400004</v>
      </c>
      <c r="G47" s="21">
        <f>IF(C47&lt;=ACTION!$I$67,-F47*ACTION!I$65,0)</f>
        <v>-40364.281096800005</v>
      </c>
      <c r="H47" s="21">
        <f>-IF(C47&lt;=ACTION!$H$60,0,IF(C47&lt;=ACTION!$H$59,-PMT(ACTION!$H$58,ACTION!$H$59-ACTION!$H$60,ACTION!$H$56),0))</f>
        <v>-30892.825716422445</v>
      </c>
      <c r="I47" s="71"/>
      <c r="J47" s="21">
        <f>IF(C47&gt;ACTION!$I$67,-ACTION!K$27*((1+ACTION!$K$42)^C47),0)</f>
        <v>0</v>
      </c>
      <c r="K47" s="21">
        <f>-IF(MOD(C47,ACTION!$K$23)=0,ACTION!$K$22*(1+ACTION!$K$42)^C47,0)</f>
        <v>0</v>
      </c>
      <c r="L47" s="21">
        <f t="shared" si="5"/>
        <v>-17438.065350822446</v>
      </c>
      <c r="M47" s="21">
        <f>IF(C47&gt;ACTION!$K$11,"",M46+L47)</f>
        <v>-75070.397067244936</v>
      </c>
      <c r="N47" s="66" t="str">
        <f t="shared" si="4"/>
        <v xml:space="preserve"> </v>
      </c>
      <c r="O47" s="94" t="str">
        <f>IF(C47&gt;ACTION!K$11,"",IF(ISERROR(IRR($L$45:L47)),"",IRR($L$45:L47)))</f>
        <v/>
      </c>
      <c r="P47" s="95">
        <f>IF(C47&gt;ACTION!K$11,"",NPV(ACTION!$K$53,L$46:L47)+P$45)</f>
        <v>-72481.542708090681</v>
      </c>
      <c r="Q47" s="1"/>
    </row>
    <row r="48" spans="2:17" x14ac:dyDescent="0.2">
      <c r="B48" s="1"/>
      <c r="C48" s="20">
        <f t="shared" si="6"/>
        <v>3</v>
      </c>
      <c r="D48" s="23"/>
      <c r="E48" s="23"/>
      <c r="F48" s="21">
        <f>(ACTION!$K$14-ACTION!$K$26)*((1-ACTION!$K$45)^$C47)*ACTION!$K$43*(1+ACTION!$K$48)^C47+(ACTION!$K$16-ACTION!$K$29)*((1-ACTION!$K$46)^$C47)*ACTION!$K$17*(1+ACTION!$K$49)^C47+(ACTION!$K$19-ACTION!$K$30)*((1-ACTION!$K$47)^$C47)*ACTION!$K$20*(1+ACTION!$K$50)^C47+ACTION!K$21</f>
        <v>53813.707458253761</v>
      </c>
      <c r="G48" s="21">
        <f>IF(C48&lt;=ACTION!$I$67,-F48*ACTION!I$65,0)</f>
        <v>-40360.280593690317</v>
      </c>
      <c r="H48" s="21">
        <f>-IF(C48&lt;=ACTION!$H$60,0,IF(C48&lt;=ACTION!$H$59,-PMT(ACTION!$H$58,ACTION!$H$59-ACTION!$H$60,ACTION!$H$56),0))</f>
        <v>-30892.825716422445</v>
      </c>
      <c r="I48" s="71"/>
      <c r="J48" s="21">
        <f>IF(C48&gt;ACTION!$I$67,-ACTION!K$27*((1+ACTION!$K$42)^C48),0)</f>
        <v>0</v>
      </c>
      <c r="K48" s="21">
        <f>-IF(MOD(C48,ACTION!$K$23)=0,ACTION!$K$22*(1+ACTION!$K$42)^C48,0)</f>
        <v>0</v>
      </c>
      <c r="L48" s="21">
        <f t="shared" si="5"/>
        <v>-17439.398851859001</v>
      </c>
      <c r="M48" s="21">
        <f>IF(C48&gt;ACTION!$K$11,"",M47+L48)</f>
        <v>-92509.795919103941</v>
      </c>
      <c r="N48" s="66" t="str">
        <f t="shared" si="4"/>
        <v xml:space="preserve"> </v>
      </c>
      <c r="O48" s="94" t="str">
        <f>IF(C48&gt;ACTION!K$11,"",IF(ISERROR(IRR($L$45:L48)),"",IRR($L$45:L48)))</f>
        <v/>
      </c>
      <c r="P48" s="95">
        <f>IF(C48&gt;ACTION!K$11,"",NPV(ACTION!$K$53,L$46:L48)+P$45)</f>
        <v>-87417.958572272677</v>
      </c>
      <c r="Q48" s="1"/>
    </row>
    <row r="49" spans="2:17" x14ac:dyDescent="0.2">
      <c r="B49" s="1"/>
      <c r="C49" s="20">
        <f t="shared" si="6"/>
        <v>4</v>
      </c>
      <c r="D49" s="23"/>
      <c r="E49" s="23"/>
      <c r="F49" s="21">
        <f>(ACTION!$K$14-ACTION!$K$26)*((1-ACTION!$K$45)^$C48)*ACTION!$K$43*(1+ACTION!$K$48)^C48+(ACTION!$K$16-ACTION!$K$29)*((1-ACTION!$K$46)^$C48)*ACTION!$K$17*(1+ACTION!$K$49)^C48+(ACTION!$K$19-ACTION!$K$30)*((1-ACTION!$K$47)^$C48)*ACTION!$K$20*(1+ACTION!$K$50)^C48+ACTION!K$21</f>
        <v>53808.373987507926</v>
      </c>
      <c r="G49" s="21">
        <f>IF(C49&lt;=ACTION!$I$67,-F49*ACTION!I$65,0)</f>
        <v>-40356.280490630947</v>
      </c>
      <c r="H49" s="21">
        <f>-IF(C49&lt;=ACTION!$H$60,0,IF(C49&lt;=ACTION!$H$59,-PMT(ACTION!$H$58,ACTION!$H$59-ACTION!$H$60,ACTION!$H$56),0))</f>
        <v>-30892.825716422445</v>
      </c>
      <c r="I49" s="71"/>
      <c r="J49" s="21">
        <f>IF(C49&gt;ACTION!$I$67,-ACTION!K$27*((1+ACTION!$K$42)^C49),0)</f>
        <v>0</v>
      </c>
      <c r="K49" s="21">
        <f>-IF(MOD(C49,ACTION!$K$23)=0,ACTION!$K$22*(1+ACTION!$K$42)^C49,0)</f>
        <v>-1.08243216</v>
      </c>
      <c r="L49" s="21">
        <f t="shared" si="5"/>
        <v>-17441.814651705467</v>
      </c>
      <c r="M49" s="21">
        <f>IF(C49&gt;ACTION!$K$11,"",M48+L49)</f>
        <v>-109951.61057080941</v>
      </c>
      <c r="N49" s="66" t="str">
        <f t="shared" si="4"/>
        <v xml:space="preserve"> </v>
      </c>
      <c r="O49" s="94" t="str">
        <f>IF(C49&gt;ACTION!K$11,"",IF(ISERROR(IRR($L$45:L49)),"",IRR($L$45:L49)))</f>
        <v/>
      </c>
      <c r="P49" s="95">
        <f>IF(C49&gt;ACTION!K$11,"",NPV(ACTION!$K$53,L$46:L49)+P$45)</f>
        <v>-101604.55395431268</v>
      </c>
      <c r="Q49" s="1"/>
    </row>
    <row r="50" spans="2:17" x14ac:dyDescent="0.2">
      <c r="B50" s="1"/>
      <c r="C50" s="20">
        <f t="shared" si="6"/>
        <v>5</v>
      </c>
      <c r="D50" s="23"/>
      <c r="E50" s="23"/>
      <c r="F50" s="21">
        <f>(ACTION!$K$14-ACTION!$K$26)*((1-ACTION!$K$45)^$C49)*ACTION!$K$43*(1+ACTION!$K$48)^C49+(ACTION!$K$16-ACTION!$K$29)*((1-ACTION!$K$46)^$C49)*ACTION!$K$17*(1+ACTION!$K$49)^C49+(ACTION!$K$19-ACTION!$K$30)*((1-ACTION!$K$47)^$C49)*ACTION!$K$20*(1+ACTION!$K$50)^C49+ACTION!K$21</f>
        <v>53803.041050109183</v>
      </c>
      <c r="G50" s="21">
        <f>IF(C50&lt;=ACTION!$I$67,-F50*ACTION!I$65,0)</f>
        <v>-40352.280787581883</v>
      </c>
      <c r="H50" s="21">
        <f>-IF(C50&lt;=ACTION!$H$60,0,IF(C50&lt;=ACTION!$H$59,-PMT(ACTION!$H$58,ACTION!$H$59-ACTION!$H$60,ACTION!$H$56),0))</f>
        <v>-30892.825716422445</v>
      </c>
      <c r="I50" s="71"/>
      <c r="J50" s="21">
        <f>IF(C50&gt;ACTION!$I$67,-ACTION!K$27*((1+ACTION!$K$42)^C50),0)</f>
        <v>0</v>
      </c>
      <c r="K50" s="21">
        <f>-IF(MOD(C50,ACTION!$K$23)=0,ACTION!$K$22*(1+ACTION!$K$42)^C50,0)</f>
        <v>0</v>
      </c>
      <c r="L50" s="21">
        <f t="shared" si="5"/>
        <v>-17442.065453895146</v>
      </c>
      <c r="M50" s="21">
        <f>IF(C50&gt;ACTION!$K$11,"",M49+L50)</f>
        <v>-127393.67602470456</v>
      </c>
      <c r="N50" s="66" t="str">
        <f t="shared" si="4"/>
        <v xml:space="preserve"> </v>
      </c>
      <c r="O50" s="94" t="str">
        <f>IF(C50&gt;ACTION!K$11,"",IF(ISERROR(IRR($L$45:L50)),"",IRR($L$45:L50)))</f>
        <v/>
      </c>
      <c r="P50" s="95">
        <f>IF(C50&gt;ACTION!K$11,"",NPV(ACTION!$K$53,L$46:L50)+P$45)</f>
        <v>-115077.2979013679</v>
      </c>
      <c r="Q50" s="1"/>
    </row>
    <row r="51" spans="2:17" x14ac:dyDescent="0.2">
      <c r="B51" s="1"/>
      <c r="C51" s="20">
        <f t="shared" si="6"/>
        <v>6</v>
      </c>
      <c r="D51" s="23"/>
      <c r="E51" s="23"/>
      <c r="F51" s="21">
        <f>(ACTION!$K$14-ACTION!$K$26)*((1-ACTION!$K$45)^$C50)*ACTION!$K$43*(1+ACTION!$K$48)^C50+(ACTION!$K$16-ACTION!$K$29)*((1-ACTION!$K$46)^$C50)*ACTION!$K$17*(1+ACTION!$K$49)^C50+(ACTION!$K$19-ACTION!$K$30)*((1-ACTION!$K$47)^$C50)*ACTION!$K$20*(1+ACTION!$K$50)^C50+ACTION!K$21</f>
        <v>53797.708646004168</v>
      </c>
      <c r="G51" s="21">
        <f>IF(C51&lt;=ACTION!$I$67,-F51*ACTION!I$65,0)</f>
        <v>-40348.281484503124</v>
      </c>
      <c r="H51" s="21">
        <f>-IF(C51&lt;=ACTION!$H$60,0,IF(C51&lt;=ACTION!$H$59,-PMT(ACTION!$H$58,ACTION!$H$59-ACTION!$H$60,ACTION!$H$56),0))</f>
        <v>-30892.825716422445</v>
      </c>
      <c r="I51" s="71"/>
      <c r="J51" s="21">
        <f>IF(C51&gt;ACTION!$I$67,-ACTION!K$27*((1+ACTION!$K$42)^C51),0)</f>
        <v>0</v>
      </c>
      <c r="K51" s="21">
        <f>-IF(MOD(C51,ACTION!$K$23)=0,ACTION!$K$22*(1+ACTION!$K$42)^C51,0)</f>
        <v>0</v>
      </c>
      <c r="L51" s="21">
        <f t="shared" si="5"/>
        <v>-17443.398554921401</v>
      </c>
      <c r="M51" s="21">
        <f>IF(C51&gt;ACTION!$K$11,"",M50+L51)</f>
        <v>-144837.07457962597</v>
      </c>
      <c r="N51" s="66" t="str">
        <f t="shared" si="4"/>
        <v xml:space="preserve"> </v>
      </c>
      <c r="O51" s="94" t="str">
        <f>IF(C51&gt;ACTION!K$11,"",IF(ISERROR(IRR($L$45:L51)),"",IRR($L$45:L51)))</f>
        <v/>
      </c>
      <c r="P51" s="95">
        <f>IF(C51&gt;ACTION!K$11,"",NPV(ACTION!$K$53,L$46:L51)+P$45)</f>
        <v>-127872.90442742365</v>
      </c>
      <c r="Q51" s="1"/>
    </row>
    <row r="52" spans="2:17" x14ac:dyDescent="0.2">
      <c r="B52" s="1"/>
      <c r="C52" s="20">
        <f t="shared" si="6"/>
        <v>7</v>
      </c>
      <c r="D52" s="23"/>
      <c r="E52" s="23"/>
      <c r="F52" s="21">
        <f>(ACTION!$K$14-ACTION!$K$26)*((1-ACTION!$K$45)^$C51)*ACTION!$K$43*(1+ACTION!$K$48)^C51+(ACTION!$K$16-ACTION!$K$29)*((1-ACTION!$K$46)^$C51)*ACTION!$K$17*(1+ACTION!$K$49)^C51+(ACTION!$K$19-ACTION!$K$30)*((1-ACTION!$K$47)^$C51)*ACTION!$K$20*(1+ACTION!$K$50)^C51+ACTION!K$21</f>
        <v>53792.376775139572</v>
      </c>
      <c r="G52" s="21">
        <f>IF(C52&lt;=ACTION!$I$67,-F52*ACTION!I$65,0)</f>
        <v>-40344.282581354681</v>
      </c>
      <c r="H52" s="21">
        <f>-IF(C52&lt;=ACTION!$H$60,0,IF(C52&lt;=ACTION!$H$59,-PMT(ACTION!$H$58,ACTION!$H$59-ACTION!$H$60,ACTION!$H$56),0))</f>
        <v>-30892.825716422445</v>
      </c>
      <c r="I52" s="71"/>
      <c r="J52" s="21">
        <f>IF(C52&gt;ACTION!$I$67,-ACTION!K$27*((1+ACTION!$K$42)^C52),0)</f>
        <v>0</v>
      </c>
      <c r="K52" s="21">
        <f>-IF(MOD(C52,ACTION!$K$23)=0,ACTION!$K$22*(1+ACTION!$K$42)^C52,0)</f>
        <v>0</v>
      </c>
      <c r="L52" s="21">
        <f t="shared" si="5"/>
        <v>-17444.731522637554</v>
      </c>
      <c r="M52" s="21">
        <f>IF(C52&gt;ACTION!$K$11,"",M51+L52)</f>
        <v>-162281.80610226354</v>
      </c>
      <c r="N52" s="66" t="str">
        <f t="shared" si="4"/>
        <v xml:space="preserve"> </v>
      </c>
      <c r="O52" s="94" t="str">
        <f>IF(C52&gt;ACTION!K$11,"",IF(ISERROR(IRR($L$45:L52)),"",IRR($L$45:L52)))</f>
        <v/>
      </c>
      <c r="P52" s="95">
        <f>IF(C52&gt;ACTION!K$11,"",NPV(ACTION!$K$53,L$46:L52)+P$45)</f>
        <v>-140025.40616022499</v>
      </c>
      <c r="Q52" s="1"/>
    </row>
    <row r="53" spans="2:17" x14ac:dyDescent="0.2">
      <c r="B53" s="1"/>
      <c r="C53" s="20">
        <f t="shared" si="6"/>
        <v>8</v>
      </c>
      <c r="D53" s="23"/>
      <c r="E53" s="23"/>
      <c r="F53" s="21">
        <f>(ACTION!$K$14-ACTION!$K$26)*((1-ACTION!$K$45)^$C52)*ACTION!$K$43*(1+ACTION!$K$48)^C52+(ACTION!$K$16-ACTION!$K$29)*((1-ACTION!$K$46)^$C52)*ACTION!$K$17*(1+ACTION!$K$49)^C52+(ACTION!$K$19-ACTION!$K$30)*((1-ACTION!$K$47)^$C52)*ACTION!$K$20*(1+ACTION!$K$50)^C52+ACTION!K$21</f>
        <v>53787.045437462046</v>
      </c>
      <c r="G53" s="21">
        <f>IF(C53&lt;=ACTION!$I$67,-F53*ACTION!I$65,0)</f>
        <v>-40340.284078096534</v>
      </c>
      <c r="H53" s="21">
        <f>-IF(C53&lt;=ACTION!$H$60,0,IF(C53&lt;=ACTION!$H$59,-PMT(ACTION!$H$58,ACTION!$H$59-ACTION!$H$60,ACTION!$H$56),0))</f>
        <v>-30892.825716422445</v>
      </c>
      <c r="I53" s="71"/>
      <c r="J53" s="21">
        <f>IF(C53&gt;ACTION!$I$67,-ACTION!K$27*((1+ACTION!$K$42)^C53),0)</f>
        <v>0</v>
      </c>
      <c r="K53" s="21">
        <f>-IF(MOD(C53,ACTION!$K$23)=0,ACTION!$K$22*(1+ACTION!$K$42)^C53,0)</f>
        <v>-1.1716593810022655</v>
      </c>
      <c r="L53" s="21">
        <f t="shared" si="5"/>
        <v>-17447.236016437935</v>
      </c>
      <c r="M53" s="21">
        <f>IF(C53&gt;ACTION!$K$11,"",M52+L53)</f>
        <v>-179729.04211870147</v>
      </c>
      <c r="N53" s="66" t="str">
        <f t="shared" si="4"/>
        <v xml:space="preserve"> </v>
      </c>
      <c r="O53" s="94" t="str">
        <f>IF(C53&gt;ACTION!K$11,"",IF(ISERROR(IRR($L$45:L53)),"",IRR($L$45:L53)))</f>
        <v/>
      </c>
      <c r="P53" s="95">
        <f>IF(C53&gt;ACTION!K$11,"",NPV(ACTION!$K$53,L$46:L53)+P$45)</f>
        <v>-151567.90040069807</v>
      </c>
      <c r="Q53" s="1"/>
    </row>
    <row r="54" spans="2:17" x14ac:dyDescent="0.2">
      <c r="B54" s="1"/>
      <c r="C54" s="20">
        <f t="shared" si="6"/>
        <v>9</v>
      </c>
      <c r="D54" s="23"/>
      <c r="E54" s="23"/>
      <c r="F54" s="21">
        <f>(ACTION!$K$14-ACTION!$K$26)*((1-ACTION!$K$45)^$C53)*ACTION!$K$43*(1+ACTION!$K$48)^C53+(ACTION!$K$16-ACTION!$K$29)*((1-ACTION!$K$46)^$C53)*ACTION!$K$17*(1+ACTION!$K$49)^C53+(ACTION!$K$19-ACTION!$K$30)*((1-ACTION!$K$47)^$C53)*ACTION!$K$20*(1+ACTION!$K$50)^C53+ACTION!K$21</f>
        <v>53781.714632918309</v>
      </c>
      <c r="G54" s="21">
        <f>IF(C54&lt;=ACTION!$I$67,-F54*ACTION!I$65,0)</f>
        <v>-40336.285974688733</v>
      </c>
      <c r="H54" s="21">
        <f>-IF(C54&lt;=ACTION!$H$60,0,IF(C54&lt;=ACTION!$H$59,-PMT(ACTION!$H$58,ACTION!$H$59-ACTION!$H$60,ACTION!$H$56),0))</f>
        <v>-30892.825716422445</v>
      </c>
      <c r="I54" s="71"/>
      <c r="J54" s="21">
        <f>IF(C54&gt;ACTION!$I$67,-ACTION!K$27*((1+ACTION!$K$42)^C54),0)</f>
        <v>0</v>
      </c>
      <c r="K54" s="21">
        <f>-IF(MOD(C54,ACTION!$K$23)=0,ACTION!$K$22*(1+ACTION!$K$42)^C54,0)</f>
        <v>0</v>
      </c>
      <c r="L54" s="21">
        <f t="shared" si="5"/>
        <v>-17447.39705819287</v>
      </c>
      <c r="M54" s="21">
        <f>IF(C54&gt;ACTION!$K$11,"",M53+L54)</f>
        <v>-197176.43917689435</v>
      </c>
      <c r="N54" s="66" t="str">
        <f t="shared" si="4"/>
        <v xml:space="preserve"> </v>
      </c>
      <c r="O54" s="94" t="str">
        <f>IF(C54&gt;ACTION!K$11,"",IF(ISERROR(IRR($L$45:L54)),"",IRR($L$45:L54)))</f>
        <v/>
      </c>
      <c r="P54" s="95">
        <f>IF(C54&gt;ACTION!K$11,"",NPV(ACTION!$K$53,L$46:L54)+P$45)</f>
        <v>-162529.53456991623</v>
      </c>
      <c r="Q54" s="1"/>
    </row>
    <row r="55" spans="2:17" x14ac:dyDescent="0.2">
      <c r="B55" s="1"/>
      <c r="C55" s="20">
        <f t="shared" si="6"/>
        <v>10</v>
      </c>
      <c r="D55" s="23"/>
      <c r="E55" s="23"/>
      <c r="F55" s="21">
        <f>(ACTION!$K$14-ACTION!$K$26)*((1-ACTION!$K$45)^$C54)*ACTION!$K$43*(1+ACTION!$K$48)^C54+(ACTION!$K$16-ACTION!$K$29)*((1-ACTION!$K$46)^$C54)*ACTION!$K$17*(1+ACTION!$K$49)^C54+(ACTION!$K$19-ACTION!$K$30)*((1-ACTION!$K$47)^$C54)*ACTION!$K$20*(1+ACTION!$K$50)^C54+ACTION!K$21</f>
        <v>53776.384361455021</v>
      </c>
      <c r="G55" s="21">
        <f>IF(C55&lt;=ACTION!$I$67,-F55*ACTION!I$65,0)</f>
        <v>-40332.288271091267</v>
      </c>
      <c r="H55" s="21">
        <f>-IF(C55&lt;=ACTION!$H$60,0,IF(C55&lt;=ACTION!$H$59,-PMT(ACTION!$H$58,ACTION!$H$59-ACTION!$H$60,ACTION!$H$56),0))</f>
        <v>-30892.825716422445</v>
      </c>
      <c r="I55" s="71"/>
      <c r="J55" s="21">
        <f>IF(C55&gt;ACTION!$I$67,-ACTION!K$27*((1+ACTION!$K$42)^C55),0)</f>
        <v>0</v>
      </c>
      <c r="K55" s="21">
        <f>-IF(MOD(C55,ACTION!$K$23)=0,ACTION!$K$22*(1+ACTION!$K$42)^C55,0)</f>
        <v>0</v>
      </c>
      <c r="L55" s="21">
        <f t="shared" si="5"/>
        <v>-17448.729626058692</v>
      </c>
      <c r="M55" s="21">
        <f>IF(C55&gt;ACTION!$K$11,"",M54+L55)</f>
        <v>-214625.16880295303</v>
      </c>
      <c r="N55" s="66" t="str">
        <f t="shared" si="4"/>
        <v xml:space="preserve"> </v>
      </c>
      <c r="O55" s="94" t="str">
        <f>IF(C55&gt;ACTION!K$11,"",IF(ISERROR(IRR($L$45:L55)),"",IRR($L$45:L55)))</f>
        <v/>
      </c>
      <c r="P55" s="95">
        <f>IF(C55&gt;ACTION!K$11,"",NPV(ACTION!$K$53,L$46:L55)+P$45)</f>
        <v>-172940.23863299782</v>
      </c>
      <c r="Q55" s="1"/>
    </row>
    <row r="56" spans="2:17" x14ac:dyDescent="0.2">
      <c r="B56" s="1"/>
      <c r="C56" s="20">
        <f t="shared" si="6"/>
        <v>11</v>
      </c>
      <c r="D56" s="23"/>
      <c r="E56" s="23"/>
      <c r="F56" s="21">
        <f>(ACTION!$K$14-ACTION!$K$26)*((1-ACTION!$K$45)^$C55)*ACTION!$K$43*(1+ACTION!$K$48)^C55+(ACTION!$K$16-ACTION!$K$29)*((1-ACTION!$K$46)^$C55)*ACTION!$K$17*(1+ACTION!$K$49)^C55+(ACTION!$K$19-ACTION!$K$30)*((1-ACTION!$K$47)^$C55)*ACTION!$K$20*(1+ACTION!$K$50)^C55+ACTION!K$21</f>
        <v>53771.054623018877</v>
      </c>
      <c r="G56" s="21">
        <f>IF(C56&lt;=ACTION!$I$67,-F56*ACTION!I$65,0)</f>
        <v>0</v>
      </c>
      <c r="H56" s="21">
        <f>-IF(C56&lt;=ACTION!$H$60,0,IF(C56&lt;=ACTION!$H$59,-PMT(ACTION!$H$58,ACTION!$H$59-ACTION!$H$60,ACTION!$H$56),0))</f>
        <v>-30892.825716422445</v>
      </c>
      <c r="I56" s="71"/>
      <c r="J56" s="110">
        <f>IF(C56&gt;ACTION!$I$67,-ACTION!K$27*((1+ACTION!$K$42)^C56),0)</f>
        <v>-999.67294394930025</v>
      </c>
      <c r="K56" s="21">
        <f>-IF(MOD(C56,ACTION!$K$23)=0,ACTION!$K$22*(1+ACTION!$K$42)^C56,0)</f>
        <v>0</v>
      </c>
      <c r="L56" s="21">
        <f t="shared" si="5"/>
        <v>21878.555962647133</v>
      </c>
      <c r="M56" s="21">
        <f>IF(C56&gt;ACTION!$K$11,"",M55+L56)</f>
        <v>-192746.6128403059</v>
      </c>
      <c r="N56" s="66" t="str">
        <f t="shared" si="4"/>
        <v xml:space="preserve"> </v>
      </c>
      <c r="O56" s="94" t="str">
        <f>IF(C56&gt;ACTION!K$11,"",IF(ISERROR(IRR($L$45:L56)),"",IRR($L$45:L56)))</f>
        <v/>
      </c>
      <c r="P56" s="95">
        <f>IF(C56&gt;ACTION!K$11,"",NPV(ACTION!$K$53,L$46:L56)+P$45)</f>
        <v>-160543.52494090193</v>
      </c>
      <c r="Q56" s="1"/>
    </row>
    <row r="57" spans="2:17" x14ac:dyDescent="0.2">
      <c r="B57" s="1"/>
      <c r="C57" s="20">
        <f t="shared" si="6"/>
        <v>12</v>
      </c>
      <c r="D57" s="23"/>
      <c r="E57" s="23"/>
      <c r="F57" s="21">
        <f>(ACTION!$K$14-ACTION!$K$26)*((1-ACTION!$K$45)^$C56)*ACTION!$K$43*(1+ACTION!$K$48)^C56+(ACTION!$K$16-ACTION!$K$29)*((1-ACTION!$K$46)^$C56)*ACTION!$K$17*(1+ACTION!$K$49)^C56+(ACTION!$K$19-ACTION!$K$30)*((1-ACTION!$K$47)^$C56)*ACTION!$K$20*(1+ACTION!$K$50)^C56+ACTION!K$21</f>
        <v>53765.725417556569</v>
      </c>
      <c r="G57" s="21">
        <f>IF(C57&lt;=ACTION!$I$67,-F57*ACTION!I$65,0)</f>
        <v>0</v>
      </c>
      <c r="H57" s="21">
        <f>-IF(C57&lt;=ACTION!$H$60,0,IF(C57&lt;=ACTION!$H$59,-PMT(ACTION!$H$58,ACTION!$H$59-ACTION!$H$60,ACTION!$H$56),0))</f>
        <v>-30892.825716422445</v>
      </c>
      <c r="I57" s="71"/>
      <c r="J57" s="110">
        <f>IF(C57&gt;ACTION!$I$67,-ACTION!K$27*((1+ACTION!$K$42)^C57),0)</f>
        <v>-1019.6664028282864</v>
      </c>
      <c r="K57" s="21">
        <f>-IF(MOD(C57,ACTION!$K$23)=0,ACTION!$K$22*(1+ACTION!$K$42)^C57,0)</f>
        <v>-1.2682417945625453</v>
      </c>
      <c r="L57" s="21">
        <f t="shared" si="5"/>
        <v>21851.965056511275</v>
      </c>
      <c r="M57" s="21">
        <f>IF(C57&gt;ACTION!$K$11,"",M56+L57)</f>
        <v>-170894.64778379461</v>
      </c>
      <c r="N57" s="66" t="str">
        <f t="shared" si="4"/>
        <v xml:space="preserve"> </v>
      </c>
      <c r="O57" s="94" t="str">
        <f>IF(C57&gt;ACTION!K$11,"",IF(ISERROR(IRR($L$45:L57)),"",IRR($L$45:L57)))</f>
        <v/>
      </c>
      <c r="P57" s="95">
        <f>IF(C57&gt;ACTION!K$11,"",NPV(ACTION!$K$53,L$46:L57)+P$45)</f>
        <v>-148785.07585159951</v>
      </c>
      <c r="Q57" s="1"/>
    </row>
    <row r="58" spans="2:17" x14ac:dyDescent="0.2">
      <c r="B58" s="1"/>
      <c r="C58" s="20">
        <f t="shared" si="6"/>
        <v>13</v>
      </c>
      <c r="D58" s="23"/>
      <c r="E58" s="23"/>
      <c r="F58" s="21">
        <f>(ACTION!$K$14-ACTION!$K$26)*((1-ACTION!$K$45)^$C57)*ACTION!$K$43*(1+ACTION!$K$48)^C57+(ACTION!$K$16-ACTION!$K$29)*((1-ACTION!$K$46)^$C57)*ACTION!$K$17*(1+ACTION!$K$49)^C57+(ACTION!$K$19-ACTION!$K$30)*((1-ACTION!$K$47)^$C57)*ACTION!$K$20*(1+ACTION!$K$50)^C57+ACTION!K$21</f>
        <v>53760.396745014812</v>
      </c>
      <c r="G58" s="21">
        <f>IF(C58&lt;=ACTION!$I$67,-F58*ACTION!I$65,0)</f>
        <v>0</v>
      </c>
      <c r="H58" s="21">
        <f>-IF(C58&lt;=ACTION!$H$60,0,IF(C58&lt;=ACTION!$H$59,-PMT(ACTION!$H$58,ACTION!$H$59-ACTION!$H$60,ACTION!$H$56),0))</f>
        <v>-30892.825716422445</v>
      </c>
      <c r="I58" s="71"/>
      <c r="J58" s="110">
        <f>IF(C58&gt;ACTION!$I$67,-ACTION!K$27*((1+ACTION!$K$42)^C58),0)</f>
        <v>-1040.0597308848521</v>
      </c>
      <c r="K58" s="21">
        <f>-IF(MOD(C58,ACTION!$K$23)=0,ACTION!$K$22*(1+ACTION!$K$42)^C58,0)</f>
        <v>0</v>
      </c>
      <c r="L58" s="21">
        <f t="shared" si="5"/>
        <v>21827.511297707515</v>
      </c>
      <c r="M58" s="21">
        <f>IF(C58&gt;ACTION!$K$11,"",M57+L58)</f>
        <v>-149067.13648608711</v>
      </c>
      <c r="N58" s="66" t="str">
        <f t="shared" si="4"/>
        <v xml:space="preserve"> </v>
      </c>
      <c r="O58" s="94">
        <f>IF(C58&gt;ACTION!K$11,"",IF(ISERROR(IRR($L$45:L58)),"",IRR($L$45:L58)))</f>
        <v>-0.16483533568356878</v>
      </c>
      <c r="P58" s="95">
        <f>IF(C58&gt;ACTION!K$11,"",NPV(ACTION!$K$53,L$46:L58)+P$45)</f>
        <v>-137630.95369955077</v>
      </c>
      <c r="Q58" s="1"/>
    </row>
    <row r="59" spans="2:17" x14ac:dyDescent="0.2">
      <c r="B59" s="1"/>
      <c r="C59" s="20">
        <f t="shared" si="6"/>
        <v>14</v>
      </c>
      <c r="D59" s="23"/>
      <c r="E59" s="23"/>
      <c r="F59" s="21">
        <f>(ACTION!$K$14-ACTION!$K$26)*((1-ACTION!$K$45)^$C58)*ACTION!$K$43*(1+ACTION!$K$48)^C58+(ACTION!$K$16-ACTION!$K$29)*((1-ACTION!$K$46)^$C58)*ACTION!$K$17*(1+ACTION!$K$49)^C58+(ACTION!$K$19-ACTION!$K$30)*((1-ACTION!$K$47)^$C58)*ACTION!$K$20*(1+ACTION!$K$50)^C58+ACTION!K$21</f>
        <v>53755.068605340311</v>
      </c>
      <c r="G59" s="21">
        <f>IF(C59&lt;=ACTION!$I$67,-F59*ACTION!I$65,0)</f>
        <v>0</v>
      </c>
      <c r="H59" s="21">
        <f>-IF(C59&lt;=ACTION!$H$60,0,IF(C59&lt;=ACTION!$H$59,-PMT(ACTION!$H$58,ACTION!$H$59-ACTION!$H$60,ACTION!$H$56),0))</f>
        <v>-30892.825716422445</v>
      </c>
      <c r="I59" s="71"/>
      <c r="J59" s="110">
        <f>IF(C59&gt;ACTION!$I$67,-ACTION!K$27*((1+ACTION!$K$42)^C59),0)</f>
        <v>-1060.8609255025492</v>
      </c>
      <c r="K59" s="21">
        <f>-IF(MOD(C59,ACTION!$K$23)=0,ACTION!$K$22*(1+ACTION!$K$42)^C59,0)</f>
        <v>0</v>
      </c>
      <c r="L59" s="21">
        <f t="shared" si="5"/>
        <v>21801.381963415319</v>
      </c>
      <c r="M59" s="21">
        <f>IF(C59&gt;ACTION!$K$11,"",M58+L59)</f>
        <v>-127265.75452267179</v>
      </c>
      <c r="N59" s="66" t="str">
        <f t="shared" si="4"/>
        <v xml:space="preserve"> </v>
      </c>
      <c r="O59" s="94">
        <f>IF(C59&gt;ACTION!K$11,"",IF(ISERROR(IRR($L$45:L59)),"",IRR($L$45:L59)))</f>
        <v>-0.11410367636929031</v>
      </c>
      <c r="P59" s="95">
        <f>IF(C59&gt;ACTION!K$11,"",NPV(ACTION!$K$53,L$46:L59)+P$45)</f>
        <v>-127050.92545041443</v>
      </c>
      <c r="Q59" s="1"/>
    </row>
    <row r="60" spans="2:17" x14ac:dyDescent="0.2">
      <c r="B60" s="1"/>
      <c r="C60" s="20">
        <f t="shared" si="6"/>
        <v>15</v>
      </c>
      <c r="D60" s="23"/>
      <c r="E60" s="23"/>
      <c r="F60" s="21">
        <f>(ACTION!$K$14-ACTION!$K$26)*((1-ACTION!$K$45)^$C59)*ACTION!$K$43*(1+ACTION!$K$48)^C59+(ACTION!$K$16-ACTION!$K$29)*((1-ACTION!$K$46)^$C59)*ACTION!$K$17*(1+ACTION!$K$49)^C59+(ACTION!$K$19-ACTION!$K$30)*((1-ACTION!$K$47)^$C59)*ACTION!$K$20*(1+ACTION!$K$50)^C59+ACTION!K$21</f>
        <v>53749.740998479785</v>
      </c>
      <c r="G60" s="21">
        <f>IF(C60&lt;=ACTION!$I$67,-F60*ACTION!I$65,0)</f>
        <v>0</v>
      </c>
      <c r="H60" s="21">
        <f>-IF(C60&lt;=ACTION!$H$60,0,IF(C60&lt;=ACTION!$H$59,-PMT(ACTION!$H$58,ACTION!$H$59-ACTION!$H$60,ACTION!$H$56),0))</f>
        <v>-30892.825716422445</v>
      </c>
      <c r="I60" s="71"/>
      <c r="J60" s="110">
        <f>IF(C60&gt;ACTION!$I$67,-ACTION!K$27*((1+ACTION!$K$42)^C60),0)</f>
        <v>-1082.0781440126</v>
      </c>
      <c r="K60" s="21">
        <f>-IF(MOD(C60,ACTION!$K$23)=0,ACTION!$K$22*(1+ACTION!$K$42)^C60,0)</f>
        <v>0</v>
      </c>
      <c r="L60" s="21">
        <f t="shared" si="5"/>
        <v>21774.837138044739</v>
      </c>
      <c r="M60" s="21">
        <f>IF(C60&gt;ACTION!$K$11,"",M59+L60)</f>
        <v>-105490.91738462706</v>
      </c>
      <c r="N60" s="66">
        <f t="shared" si="4"/>
        <v>15</v>
      </c>
      <c r="O60" s="94">
        <f>IF(C60&gt;ACTION!K$11,"",IF(ISERROR(IRR($L$45:L60)),"",IRR($L$45:L60)))</f>
        <v>-7.9739887075149785E-2</v>
      </c>
      <c r="P60" s="95">
        <f>IF(C60&gt;ACTION!K$11,"",NPV(ACTION!$K$53,L$46:L60)+P$45)</f>
        <v>-117015.64884311025</v>
      </c>
      <c r="Q60" s="1"/>
    </row>
    <row r="61" spans="2:17" x14ac:dyDescent="0.2">
      <c r="B61" s="1"/>
      <c r="C61" s="20">
        <f t="shared" si="6"/>
        <v>16</v>
      </c>
      <c r="D61" s="23"/>
      <c r="E61" s="23"/>
      <c r="F61" s="21">
        <f>(ACTION!$K$14-ACTION!$K$26)*((1-ACTION!$K$45)^$C60)*ACTION!$K$43*(1+ACTION!$K$48)^C60+(ACTION!$K$16-ACTION!$K$29)*((1-ACTION!$K$46)^$C60)*ACTION!$K$17*(1+ACTION!$K$49)^C60+(ACTION!$K$19-ACTION!$K$30)*((1-ACTION!$K$47)^$C60)*ACTION!$K$20*(1+ACTION!$K$50)^C60+ACTION!K$21</f>
        <v>53744.413924379922</v>
      </c>
      <c r="G61" s="21">
        <f>IF(C61&lt;=ACTION!$I$67,-F61*ACTION!I$65,0)</f>
        <v>0</v>
      </c>
      <c r="H61" s="21">
        <f>-IF(C61&lt;=ACTION!$H$60,0,IF(C61&lt;=ACTION!$H$59,-PMT(ACTION!$H$58,ACTION!$H$59-ACTION!$H$60,ACTION!$H$56),0))</f>
        <v>0</v>
      </c>
      <c r="I61" s="71"/>
      <c r="J61" s="110">
        <f>IF(C61&gt;ACTION!$I$67,-ACTION!K$27*((1+ACTION!$K$42)^C61),0)</f>
        <v>-1103.7197068928522</v>
      </c>
      <c r="K61" s="21">
        <f>-IF(MOD(C61,ACTION!$K$23)=0,ACTION!$K$22*(1+ACTION!$K$42)^C61,0)</f>
        <v>-1.372785705090612</v>
      </c>
      <c r="L61" s="21">
        <f t="shared" si="5"/>
        <v>52639.32143178198</v>
      </c>
      <c r="M61" s="21" t="str">
        <f>IF(C61&gt;ACTION!$K$11,"",M60+L61)</f>
        <v/>
      </c>
      <c r="N61" s="66" t="str">
        <f t="shared" si="4"/>
        <v xml:space="preserve"> </v>
      </c>
      <c r="O61" s="94" t="str">
        <f>IF(C61&gt;ACTION!K$11,"",IF(ISERROR(IRR($L$45:L61)),"",IRR($L$45:L61)))</f>
        <v/>
      </c>
      <c r="P61" s="95" t="str">
        <f>IF(C61&gt;ACTION!K$11,"",NPV(ACTION!$K$53,L$46:L61)+P$45)</f>
        <v/>
      </c>
      <c r="Q61" s="1"/>
    </row>
    <row r="62" spans="2:17" x14ac:dyDescent="0.2">
      <c r="B62" s="1"/>
      <c r="C62" s="20">
        <f t="shared" si="6"/>
        <v>17</v>
      </c>
      <c r="D62" s="23"/>
      <c r="E62" s="23"/>
      <c r="F62" s="21">
        <f>(ACTION!$K$14-ACTION!$K$26)*((1-ACTION!$K$45)^$C61)*ACTION!$K$43*(1+ACTION!$K$48)^C61+(ACTION!$K$16-ACTION!$K$29)*((1-ACTION!$K$46)^$C61)*ACTION!$K$17*(1+ACTION!$K$49)^C61+(ACTION!$K$19-ACTION!$K$30)*((1-ACTION!$K$47)^$C61)*ACTION!$K$20*(1+ACTION!$K$50)^C61+ACTION!K$21</f>
        <v>53739.087382987491</v>
      </c>
      <c r="G62" s="21">
        <f>IF(C62&lt;=ACTION!$I$67,-F62*ACTION!I$65,0)</f>
        <v>0</v>
      </c>
      <c r="H62" s="21">
        <f>-IF(C62&lt;=ACTION!$H$60,0,IF(C62&lt;=ACTION!$H$59,-PMT(ACTION!$H$58,ACTION!$H$59-ACTION!$H$60,ACTION!$H$56),0))</f>
        <v>0</v>
      </c>
      <c r="I62" s="71"/>
      <c r="J62" s="110">
        <f>IF(C62&gt;ACTION!$I$67,-ACTION!K$27*((1+ACTION!$K$42)^C62),0)</f>
        <v>-1125.7941010307093</v>
      </c>
      <c r="K62" s="21">
        <f>-IF(MOD(C62,ACTION!$K$23)=0,ACTION!$K$22*(1+ACTION!$K$42)^C62,0)</f>
        <v>0</v>
      </c>
      <c r="L62" s="21">
        <f t="shared" si="5"/>
        <v>52613.29328195678</v>
      </c>
      <c r="M62" s="21" t="str">
        <f>IF(C62&gt;ACTION!$K$11,"",M61+L62)</f>
        <v/>
      </c>
      <c r="N62" s="66" t="str">
        <f t="shared" si="4"/>
        <v xml:space="preserve"> </v>
      </c>
      <c r="O62" s="94" t="str">
        <f>IF(C62&gt;ACTION!K$11,"",IF(ISERROR(IRR($L$45:L62)),"",IRR($L$45:L62)))</f>
        <v/>
      </c>
      <c r="P62" s="95" t="str">
        <f>IF(C62&gt;ACTION!K$11,"",NPV(ACTION!$K$53,L$46:L62)+P$45)</f>
        <v/>
      </c>
      <c r="Q62" s="1"/>
    </row>
    <row r="63" spans="2:17" x14ac:dyDescent="0.2">
      <c r="B63" s="1"/>
      <c r="C63" s="20">
        <f t="shared" si="6"/>
        <v>18</v>
      </c>
      <c r="D63" s="23"/>
      <c r="E63" s="23"/>
      <c r="F63" s="21">
        <f>(ACTION!$K$14-ACTION!$K$26)*((1-ACTION!$K$45)^$C62)*ACTION!$K$43*(1+ACTION!$K$48)^C62+(ACTION!$K$16-ACTION!$K$29)*((1-ACTION!$K$46)^$C62)*ACTION!$K$17*(1+ACTION!$K$49)^C62+(ACTION!$K$19-ACTION!$K$30)*((1-ACTION!$K$47)^$C62)*ACTION!$K$20*(1+ACTION!$K$50)^C62+ACTION!K$21</f>
        <v>53733.761374249203</v>
      </c>
      <c r="G63" s="21">
        <f>IF(C63&lt;=ACTION!$I$67,-F63*ACTION!I$65,0)</f>
        <v>0</v>
      </c>
      <c r="H63" s="21">
        <f>-IF(C63&lt;=ACTION!$H$60,0,IF(C63&lt;=ACTION!$H$59,-PMT(ACTION!$H$58,ACTION!$H$59-ACTION!$H$60,ACTION!$H$56),0))</f>
        <v>0</v>
      </c>
      <c r="I63" s="71"/>
      <c r="J63" s="110">
        <f>IF(C63&gt;ACTION!$I$67,-ACTION!K$27*((1+ACTION!$K$42)^C63),0)</f>
        <v>-1148.3099830513233</v>
      </c>
      <c r="K63" s="21">
        <f>-IF(MOD(C63,ACTION!$K$23)=0,ACTION!$K$22*(1+ACTION!$K$42)^C63,0)</f>
        <v>0</v>
      </c>
      <c r="L63" s="21">
        <f t="shared" si="5"/>
        <v>52585.451391197879</v>
      </c>
      <c r="M63" s="21" t="str">
        <f>IF(C63&gt;ACTION!$K$11,"",M62+L63)</f>
        <v/>
      </c>
      <c r="N63" s="66" t="str">
        <f t="shared" si="4"/>
        <v xml:space="preserve"> </v>
      </c>
      <c r="O63" s="94" t="str">
        <f>IF(C63&gt;ACTION!K$11,"",IF(ISERROR(IRR($L$45:L63)),"",IRR($L$45:L63)))</f>
        <v/>
      </c>
      <c r="P63" s="95" t="str">
        <f>IF(C63&gt;ACTION!K$11,"",NPV(ACTION!$K$53,L$46:L63)+P$45)</f>
        <v/>
      </c>
      <c r="Q63" s="1"/>
    </row>
    <row r="64" spans="2:17" x14ac:dyDescent="0.2">
      <c r="B64" s="1"/>
      <c r="C64" s="20">
        <f t="shared" si="6"/>
        <v>19</v>
      </c>
      <c r="D64" s="23"/>
      <c r="E64" s="23"/>
      <c r="F64" s="21">
        <f>(ACTION!$K$14-ACTION!$K$26)*((1-ACTION!$K$45)^$C63)*ACTION!$K$43*(1+ACTION!$K$48)^C63+(ACTION!$K$16-ACTION!$K$29)*((1-ACTION!$K$46)^$C63)*ACTION!$K$17*(1+ACTION!$K$49)^C63+(ACTION!$K$19-ACTION!$K$30)*((1-ACTION!$K$47)^$C63)*ACTION!$K$20*(1+ACTION!$K$50)^C63+ACTION!K$21</f>
        <v>53728.435898111777</v>
      </c>
      <c r="G64" s="21">
        <f>IF(C64&lt;=ACTION!$I$67,-F64*ACTION!I$65,0)</f>
        <v>0</v>
      </c>
      <c r="H64" s="21">
        <f>-IF(C64&lt;=ACTION!$H$60,0,IF(C64&lt;=ACTION!$H$59,-PMT(ACTION!$H$58,ACTION!$H$59-ACTION!$H$60,ACTION!$H$56),0))</f>
        <v>0</v>
      </c>
      <c r="I64" s="71"/>
      <c r="J64" s="110">
        <f>IF(C64&gt;ACTION!$I$67,-ACTION!K$27*((1+ACTION!$K$42)^C64),0)</f>
        <v>-1171.2761827123497</v>
      </c>
      <c r="K64" s="21">
        <f>-IF(MOD(C64,ACTION!$K$23)=0,ACTION!$K$22*(1+ACTION!$K$42)^C64,0)</f>
        <v>0</v>
      </c>
      <c r="L64" s="21">
        <f t="shared" si="5"/>
        <v>52557.15971539943</v>
      </c>
      <c r="M64" s="21" t="str">
        <f>IF(C64&gt;ACTION!$K$11,"",M63+L64)</f>
        <v/>
      </c>
      <c r="N64" s="66" t="str">
        <f t="shared" si="4"/>
        <v xml:space="preserve"> </v>
      </c>
      <c r="O64" s="94" t="str">
        <f>IF(C64&gt;ACTION!K$11,"",IF(ISERROR(IRR($L$45:L64)),"",IRR($L$45:L64)))</f>
        <v/>
      </c>
      <c r="P64" s="95" t="str">
        <f>IF(C64&gt;ACTION!K$11,"",NPV(ACTION!$K$53,L$46:L64)+P$45)</f>
        <v/>
      </c>
      <c r="Q64" s="1"/>
    </row>
    <row r="65" spans="2:17" x14ac:dyDescent="0.2">
      <c r="B65" s="1"/>
      <c r="C65" s="20">
        <f t="shared" si="6"/>
        <v>20</v>
      </c>
      <c r="D65" s="23"/>
      <c r="E65" s="23"/>
      <c r="F65" s="21">
        <f>(ACTION!$K$14-ACTION!$K$26)*((1-ACTION!$K$45)^$C64)*ACTION!$K$43*(1+ACTION!$K$48)^C64+(ACTION!$K$16-ACTION!$K$29)*((1-ACTION!$K$46)^$C64)*ACTION!$K$17*(1+ACTION!$K$49)^C64+(ACTION!$K$19-ACTION!$K$30)*((1-ACTION!$K$47)^$C64)*ACTION!$K$20*(1+ACTION!$K$50)^C64+ACTION!K$21</f>
        <v>53723.110954521951</v>
      </c>
      <c r="G65" s="21">
        <f>IF(C65&lt;=ACTION!$I$67,-F65*ACTION!I$65,0)</f>
        <v>0</v>
      </c>
      <c r="H65" s="21">
        <f>-IF(C65&lt;=ACTION!$H$60,0,IF(C65&lt;=ACTION!$H$59,-PMT(ACTION!$H$58,ACTION!$H$59-ACTION!$H$60,ACTION!$H$56),0))</f>
        <v>0</v>
      </c>
      <c r="I65" s="71"/>
      <c r="J65" s="110">
        <f>IF(C65&gt;ACTION!$I$67,-ACTION!K$27*((1+ACTION!$K$42)^C65),0)</f>
        <v>-1194.7017063665969</v>
      </c>
      <c r="K65" s="21">
        <f>-IF(MOD(C65,ACTION!$K$23)=0,ACTION!$K$22*(1+ACTION!$K$42)^C65,0)</f>
        <v>-1.4859473959783542</v>
      </c>
      <c r="L65" s="21">
        <f t="shared" si="5"/>
        <v>52526.923300759372</v>
      </c>
      <c r="M65" s="21" t="str">
        <f>IF(C65&gt;ACTION!$K$11,"",M64+L65)</f>
        <v/>
      </c>
      <c r="N65" s="66" t="str">
        <f>+IF(AND(M65&lt;0,ACTION!K152&gt;0),C65," ")</f>
        <v xml:space="preserve"> </v>
      </c>
      <c r="O65" s="94" t="str">
        <f>IF(C65&gt;ACTION!K$11,"",IF(ISERROR(IRR($L$45:L65)),"",IRR($L$45:L65)))</f>
        <v/>
      </c>
      <c r="P65" s="95" t="str">
        <f>IF(C65&gt;ACTION!K$11,"",NPV(ACTION!$K$53,L$46:L65)+P$45)</f>
        <v/>
      </c>
      <c r="Q65" s="1"/>
    </row>
    <row r="66" spans="2:17" x14ac:dyDescent="0.2">
      <c r="B66" s="1"/>
      <c r="C66" s="20">
        <f t="shared" si="6"/>
        <v>21</v>
      </c>
      <c r="D66" s="23"/>
      <c r="E66" s="23"/>
      <c r="F66" s="21">
        <f>(ACTION!$K$14-ACTION!$K$26)*((1-ACTION!$K$45)^$C65)*ACTION!$K$43*(1+ACTION!$K$48)^C65+(ACTION!$K$16-ACTION!$K$29)*((1-ACTION!$K$46)^$C65)*ACTION!$K$17*(1+ACTION!$K$49)^C65+(ACTION!$K$19-ACTION!$K$30)*((1-ACTION!$K$47)^$C65)*ACTION!$K$20*(1+ACTION!$K$50)^C65+ACTION!K$21</f>
        <v>53717.786543426504</v>
      </c>
      <c r="G66" s="21">
        <f>IF(C66&lt;=ACTION!$I$67,-F66*ACTION!I$65,0)</f>
        <v>0</v>
      </c>
      <c r="H66" s="21">
        <f>-IF(C66&lt;=ACTION!$H$60,0,IF(C66&lt;=ACTION!$H$59,-PMT(ACTION!$H$58,ACTION!$H$59-ACTION!$H$60,ACTION!$H$56),0))</f>
        <v>0</v>
      </c>
      <c r="I66" s="71"/>
      <c r="J66" s="110">
        <f>IF(C66&gt;ACTION!$I$67,-ACTION!K$27*((1+ACTION!$K$42)^C66),0)</f>
        <v>-1218.5957404939286</v>
      </c>
      <c r="K66" s="21">
        <f>-IF(MOD(C66,ACTION!$K$23)=0,ACTION!$K$22*(1+ACTION!$K$42)^C66,0)</f>
        <v>0</v>
      </c>
      <c r="L66" s="21">
        <f t="shared" si="5"/>
        <v>52499.190802932579</v>
      </c>
      <c r="M66" s="21" t="str">
        <f>IF(C66&gt;ACTION!$K$11,"",M65+L66)</f>
        <v/>
      </c>
      <c r="N66" s="66"/>
      <c r="O66" s="94" t="str">
        <f>IF(C66&gt;ACTION!K$11,"",IF(ISERROR(IRR($L$45:L66)),"",IRR($L$45:L66)))</f>
        <v/>
      </c>
      <c r="P66" s="95" t="str">
        <f>IF(C66&gt;ACTION!K$11,"",NPV(ACTION!$K$53,L$46:L66)+P$45)</f>
        <v/>
      </c>
      <c r="Q66" s="1"/>
    </row>
    <row r="67" spans="2:17" x14ac:dyDescent="0.2">
      <c r="B67" s="1"/>
      <c r="C67" s="20">
        <f t="shared" si="6"/>
        <v>22</v>
      </c>
      <c r="D67" s="23"/>
      <c r="E67" s="23"/>
      <c r="F67" s="21">
        <f>(ACTION!$K$14-ACTION!$K$26)*((1-ACTION!$K$45)^$C66)*ACTION!$K$43*(1+ACTION!$K$48)^C66+(ACTION!$K$16-ACTION!$K$29)*((1-ACTION!$K$46)^$C66)*ACTION!$K$17*(1+ACTION!$K$49)^C66+(ACTION!$K$19-ACTION!$K$30)*((1-ACTION!$K$47)^$C66)*ACTION!$K$20*(1+ACTION!$K$50)^C66+ACTION!K$21</f>
        <v>53712.462664772152</v>
      </c>
      <c r="G67" s="21">
        <f>IF(C67&lt;=ACTION!$I$67,-F67*ACTION!I$65,0)</f>
        <v>0</v>
      </c>
      <c r="H67" s="21">
        <f>-IF(C67&lt;=ACTION!$H$60,0,IF(C67&lt;=ACTION!$H$59,-PMT(ACTION!$H$58,ACTION!$H$59-ACTION!$H$60,ACTION!$H$56),0))</f>
        <v>0</v>
      </c>
      <c r="I67" s="71"/>
      <c r="J67" s="110">
        <f>IF(C67&gt;ACTION!$I$67,-ACTION!K$27*((1+ACTION!$K$42)^C67),0)</f>
        <v>-1242.9676553038073</v>
      </c>
      <c r="K67" s="21">
        <f>-IF(MOD(C67,ACTION!$K$23)=0,ACTION!$K$22*(1+ACTION!$K$42)^C67,0)</f>
        <v>0</v>
      </c>
      <c r="L67" s="21">
        <f t="shared" si="5"/>
        <v>52469.495009468345</v>
      </c>
      <c r="M67" s="21" t="str">
        <f>IF(C67&gt;ACTION!$K$11,"",M66+L67)</f>
        <v/>
      </c>
      <c r="N67" s="66"/>
      <c r="O67" s="94" t="str">
        <f>IF(C67&gt;ACTION!K$11,"",IF(ISERROR(IRR($L$45:L67)),"",IRR($L$45:L67)))</f>
        <v/>
      </c>
      <c r="P67" s="95" t="str">
        <f>IF(C67&gt;ACTION!K$11,"",NPV(ACTION!$K$53,L$46:L67)+P$45)</f>
        <v/>
      </c>
      <c r="Q67" s="1"/>
    </row>
    <row r="68" spans="2:17" x14ac:dyDescent="0.2">
      <c r="B68" s="1"/>
      <c r="C68" s="20">
        <f t="shared" si="6"/>
        <v>23</v>
      </c>
      <c r="D68" s="23"/>
      <c r="E68" s="23"/>
      <c r="F68" s="21">
        <f>(ACTION!$K$14-ACTION!$K$26)*((1-ACTION!$K$45)^$C67)*ACTION!$K$43*(1+ACTION!$K$48)^C67+(ACTION!$K$16-ACTION!$K$29)*((1-ACTION!$K$46)^$C67)*ACTION!$K$17*(1+ACTION!$K$49)^C67+(ACTION!$K$19-ACTION!$K$30)*((1-ACTION!$K$47)^$C67)*ACTION!$K$20*(1+ACTION!$K$50)^C67+ACTION!K$21</f>
        <v>53707.139318505688</v>
      </c>
      <c r="G68" s="21">
        <f>IF(C68&lt;=ACTION!$I$67,-F68*ACTION!I$65,0)</f>
        <v>0</v>
      </c>
      <c r="H68" s="21">
        <f>-IF(C68&lt;=ACTION!$H$60,0,IF(C68&lt;=ACTION!$H$59,-PMT(ACTION!$H$58,ACTION!$H$59-ACTION!$H$60,ACTION!$H$56),0))</f>
        <v>0</v>
      </c>
      <c r="I68" s="71"/>
      <c r="J68" s="110">
        <f>IF(C68&gt;ACTION!$I$67,-ACTION!K$27*((1+ACTION!$K$42)^C68),0)</f>
        <v>-1267.8270084098833</v>
      </c>
      <c r="K68" s="21">
        <f>-IF(MOD(C68,ACTION!$K$23)=0,ACTION!$K$22*(1+ACTION!$K$42)^C68,0)</f>
        <v>0</v>
      </c>
      <c r="L68" s="21">
        <f t="shared" si="5"/>
        <v>52439.312310095804</v>
      </c>
      <c r="M68" s="21" t="str">
        <f>IF(C68&gt;ACTION!$K$11,"",M67+L68)</f>
        <v/>
      </c>
      <c r="N68" s="66"/>
      <c r="O68" s="94" t="str">
        <f>IF(C68&gt;ACTION!K$11,"",IF(ISERROR(IRR($L$45:L68)),"",IRR($L$45:L68)))</f>
        <v/>
      </c>
      <c r="P68" s="95" t="str">
        <f>IF(C68&gt;ACTION!K$11,"",NPV(ACTION!$K$53,L$46:L68)+P$45)</f>
        <v/>
      </c>
      <c r="Q68" s="1"/>
    </row>
    <row r="69" spans="2:17" x14ac:dyDescent="0.2">
      <c r="B69" s="1"/>
      <c r="C69" s="20">
        <f t="shared" si="6"/>
        <v>24</v>
      </c>
      <c r="D69" s="23"/>
      <c r="E69" s="23"/>
      <c r="F69" s="21">
        <f>(ACTION!$K$14-ACTION!$K$26)*((1-ACTION!$K$45)^$C68)*ACTION!$K$43*(1+ACTION!$K$48)^C68+(ACTION!$K$16-ACTION!$K$29)*((1-ACTION!$K$46)^$C68)*ACTION!$K$17*(1+ACTION!$K$49)^C68+(ACTION!$K$19-ACTION!$K$30)*((1-ACTION!$K$47)^$C68)*ACTION!$K$20*(1+ACTION!$K$50)^C68+ACTION!K$21</f>
        <v>53701.816504573835</v>
      </c>
      <c r="G69" s="21">
        <f>IF(C69&lt;=ACTION!$I$67,-F69*ACTION!I$65,0)</f>
        <v>0</v>
      </c>
      <c r="H69" s="21">
        <f>-IF(C69&lt;=ACTION!$H$60,0,IF(C69&lt;=ACTION!$H$59,-PMT(ACTION!$H$58,ACTION!$H$59-ACTION!$H$60,ACTION!$H$56),0))</f>
        <v>0</v>
      </c>
      <c r="I69" s="71"/>
      <c r="J69" s="110">
        <f>IF(C69&gt;ACTION!$I$67,-ACTION!K$27*((1+ACTION!$K$42)^C69),0)</f>
        <v>-1293.1835485780809</v>
      </c>
      <c r="K69" s="21">
        <f>-IF(MOD(C69,ACTION!$K$23)=0,ACTION!$K$22*(1+ACTION!$K$42)^C69,0)</f>
        <v>-1.608437249475225</v>
      </c>
      <c r="L69" s="21">
        <f t="shared" si="5"/>
        <v>52407.024518746279</v>
      </c>
      <c r="M69" s="21" t="str">
        <f>IF(C69&gt;ACTION!$K$11,"",M68+L69)</f>
        <v/>
      </c>
      <c r="N69" s="66"/>
      <c r="O69" s="94" t="str">
        <f>IF(C69&gt;ACTION!K$11,"",IF(ISERROR(IRR($L$45:L69)),"",IRR($L$45:L69)))</f>
        <v/>
      </c>
      <c r="P69" s="95" t="str">
        <f>IF(C69&gt;ACTION!K$11,"",NPV(ACTION!$K$53,L$46:L69)+P$45)</f>
        <v/>
      </c>
      <c r="Q69" s="1"/>
    </row>
    <row r="70" spans="2:17" x14ac:dyDescent="0.2">
      <c r="B70" s="1"/>
      <c r="C70" s="20">
        <f t="shared" si="6"/>
        <v>25</v>
      </c>
      <c r="D70" s="23"/>
      <c r="E70" s="23"/>
      <c r="F70" s="21">
        <f>(ACTION!$K$14-ACTION!$K$26)*((1-ACTION!$K$45)^$C69)*ACTION!$K$43*(1+ACTION!$K$48)^C69+(ACTION!$K$16-ACTION!$K$29)*((1-ACTION!$K$46)^$C69)*ACTION!$K$17*(1+ACTION!$K$49)^C69+(ACTION!$K$19-ACTION!$K$30)*((1-ACTION!$K$47)^$C69)*ACTION!$K$20*(1+ACTION!$K$50)^C69+ACTION!K$21</f>
        <v>53696.494222923386</v>
      </c>
      <c r="G70" s="21">
        <f>IF(C70&lt;=ACTION!$I$67,-F70*ACTION!I$65,0)</f>
        <v>0</v>
      </c>
      <c r="H70" s="21">
        <f>-IF(C70&lt;=ACTION!$H$60,0,IF(C70&lt;=ACTION!$H$59,-PMT(ACTION!$H$58,ACTION!$H$59-ACTION!$H$60,ACTION!$H$56),0))</f>
        <v>0</v>
      </c>
      <c r="I70" s="71"/>
      <c r="J70" s="110">
        <f>IF(C70&gt;ACTION!$I$67,-ACTION!K$27*((1+ACTION!$K$42)^C70),0)</f>
        <v>-1319.0472195496425</v>
      </c>
      <c r="K70" s="21">
        <f>-IF(MOD(C70,ACTION!$K$23)=0,ACTION!$K$22*(1+ACTION!$K$42)^C70,0)</f>
        <v>0</v>
      </c>
      <c r="L70" s="21">
        <f t="shared" si="5"/>
        <v>52377.447003373745</v>
      </c>
      <c r="M70" s="21" t="str">
        <f>IF(C70&gt;ACTION!$K$11,"",M69+L70)</f>
        <v/>
      </c>
      <c r="N70" s="66"/>
      <c r="O70" s="94" t="str">
        <f>IF(C70&gt;ACTION!K$11,"",IF(ISERROR(IRR($L$45:L70)),"",IRR($L$45:L70)))</f>
        <v/>
      </c>
      <c r="P70" s="95" t="str">
        <f>IF(C70&gt;ACTION!K$11,"",NPV(ACTION!$K$53,L$46:L70)+P$45)</f>
        <v/>
      </c>
      <c r="Q70" s="1"/>
    </row>
    <row r="71" spans="2:17" x14ac:dyDescent="0.2">
      <c r="B71" s="1"/>
      <c r="C71" s="20">
        <f t="shared" si="6"/>
        <v>26</v>
      </c>
      <c r="D71" s="23"/>
      <c r="E71" s="23"/>
      <c r="F71" s="21">
        <f>(ACTION!$K$14-ACTION!$K$26)*((1-ACTION!$K$45)^$C70)*ACTION!$K$43*(1+ACTION!$K$48)^C70+(ACTION!$K$16-ACTION!$K$29)*((1-ACTION!$K$46)^$C70)*ACTION!$K$17*(1+ACTION!$K$49)^C70+(ACTION!$K$19-ACTION!$K$30)*((1-ACTION!$K$47)^$C70)*ACTION!$K$20*(1+ACTION!$K$50)^C70+ACTION!K$21</f>
        <v>53691.172473501101</v>
      </c>
      <c r="G71" s="21">
        <f>IF(C71&lt;=ACTION!$I$67,-F71*ACTION!I$65,0)</f>
        <v>0</v>
      </c>
      <c r="H71" s="21">
        <f>-IF(C71&lt;=ACTION!$H$60,0,IF(C71&lt;=ACTION!$H$59,-PMT(ACTION!$H$58,ACTION!$H$59-ACTION!$H$60,ACTION!$H$56),0))</f>
        <v>0</v>
      </c>
      <c r="I71" s="71"/>
      <c r="J71" s="110">
        <f>IF(C71&gt;ACTION!$I$67,-ACTION!K$27*((1+ACTION!$K$42)^C71),0)</f>
        <v>-1345.4281639406356</v>
      </c>
      <c r="K71" s="21">
        <f>-IF(MOD(C71,ACTION!$K$23)=0,ACTION!$K$22*(1+ACTION!$K$42)^C71,0)</f>
        <v>0</v>
      </c>
      <c r="L71" s="21">
        <f t="shared" si="5"/>
        <v>52345.744309560469</v>
      </c>
      <c r="M71" s="21" t="str">
        <f>IF(C71&gt;ACTION!$K$11,"",M70+L71)</f>
        <v/>
      </c>
      <c r="N71" s="66"/>
      <c r="O71" s="94" t="str">
        <f>IF(C71&gt;ACTION!K$11,"",IF(ISERROR(IRR($L$45:L71)),"",IRR($L$45:L71)))</f>
        <v/>
      </c>
      <c r="P71" s="95" t="str">
        <f>IF(C71&gt;ACTION!K$11,"",NPV(ACTION!$K$53,L$46:L71)+P$45)</f>
        <v/>
      </c>
      <c r="Q71" s="1"/>
    </row>
    <row r="72" spans="2:17" x14ac:dyDescent="0.2">
      <c r="B72" s="1"/>
      <c r="C72" s="20">
        <f t="shared" si="6"/>
        <v>27</v>
      </c>
      <c r="D72" s="23"/>
      <c r="E72" s="23"/>
      <c r="F72" s="21">
        <f>(ACTION!$K$14-ACTION!$K$26)*((1-ACTION!$K$45)^$C71)*ACTION!$K$43*(1+ACTION!$K$48)^C71+(ACTION!$K$16-ACTION!$K$29)*((1-ACTION!$K$46)^$C71)*ACTION!$K$17*(1+ACTION!$K$49)^C71+(ACTION!$K$19-ACTION!$K$30)*((1-ACTION!$K$47)^$C71)*ACTION!$K$20*(1+ACTION!$K$50)^C71+ACTION!K$21</f>
        <v>53685.851256253743</v>
      </c>
      <c r="G72" s="21">
        <f>IF(C72&lt;=ACTION!$I$67,-F72*ACTION!I$65,0)</f>
        <v>0</v>
      </c>
      <c r="H72" s="21">
        <f>-IF(C72&lt;=ACTION!$H$60,0,IF(C72&lt;=ACTION!$H$59,-PMT(ACTION!$H$58,ACTION!$H$59-ACTION!$H$60,ACTION!$H$56),0))</f>
        <v>0</v>
      </c>
      <c r="I72" s="71"/>
      <c r="J72" s="110">
        <f>IF(C72&gt;ACTION!$I$67,-ACTION!K$27*((1+ACTION!$K$42)^C72),0)</f>
        <v>-1372.336727219448</v>
      </c>
      <c r="K72" s="21">
        <f>-IF(MOD(C72,ACTION!$K$23)=0,ACTION!$K$22*(1+ACTION!$K$42)^C72,0)</f>
        <v>0</v>
      </c>
      <c r="L72" s="21">
        <f t="shared" si="5"/>
        <v>52313.514529034299</v>
      </c>
      <c r="M72" s="21" t="str">
        <f>IF(C72&gt;ACTION!$K$11,"",M71+L72)</f>
        <v/>
      </c>
      <c r="N72" s="66"/>
      <c r="O72" s="94" t="str">
        <f>IF(C72&gt;ACTION!K$11,"",IF(ISERROR(IRR($L$45:L72)),"",IRR($L$45:L72)))</f>
        <v/>
      </c>
      <c r="P72" s="95" t="str">
        <f>IF(C72&gt;ACTION!K$11,"",NPV(ACTION!$K$53,L$46:L72)+P$45)</f>
        <v/>
      </c>
      <c r="Q72" s="1"/>
    </row>
    <row r="73" spans="2:17" x14ac:dyDescent="0.2">
      <c r="B73" s="1"/>
      <c r="C73" s="20">
        <f t="shared" si="6"/>
        <v>28</v>
      </c>
      <c r="D73" s="23"/>
      <c r="E73" s="23"/>
      <c r="F73" s="21">
        <f>(ACTION!$K$14-ACTION!$K$26)*((1-ACTION!$K$45)^$C72)*ACTION!$K$43*(1+ACTION!$K$48)^C72+(ACTION!$K$16-ACTION!$K$29)*((1-ACTION!$K$46)^$C72)*ACTION!$K$17*(1+ACTION!$K$49)^C72+(ACTION!$K$19-ACTION!$K$30)*((1-ACTION!$K$47)^$C72)*ACTION!$K$20*(1+ACTION!$K$50)^C72+ACTION!K$21</f>
        <v>53680.530571128103</v>
      </c>
      <c r="G73" s="21">
        <f>IF(C73&lt;=ACTION!$I$67,-F73*ACTION!I$65,0)</f>
        <v>0</v>
      </c>
      <c r="H73" s="21">
        <f>-IF(C73&lt;=ACTION!$H$60,0,IF(C73&lt;=ACTION!$H$59,-PMT(ACTION!$H$58,ACTION!$H$59-ACTION!$H$60,ACTION!$H$56),0))</f>
        <v>0</v>
      </c>
      <c r="I73" s="71"/>
      <c r="J73" s="110">
        <f>IF(C73&gt;ACTION!$I$67,-ACTION!K$27*((1+ACTION!$K$42)^C73),0)</f>
        <v>-1399.7834617638373</v>
      </c>
      <c r="K73" s="21">
        <f>-IF(MOD(C73,ACTION!$K$23)=0,ACTION!$K$22*(1+ACTION!$K$42)^C73,0)</f>
        <v>-1.7410242061739269</v>
      </c>
      <c r="L73" s="21">
        <f t="shared" si="5"/>
        <v>52279.006085158093</v>
      </c>
      <c r="M73" s="21" t="str">
        <f>IF(C73&gt;ACTION!$K$11,"",M72+L73)</f>
        <v/>
      </c>
      <c r="N73" s="66"/>
      <c r="O73" s="94" t="str">
        <f>IF(C73&gt;ACTION!K$11,"",IF(ISERROR(IRR($L$45:L73)),"",IRR($L$45:L73)))</f>
        <v/>
      </c>
      <c r="P73" s="95" t="str">
        <f>IF(C73&gt;ACTION!K$11,"",NPV(ACTION!$K$53,L$46:L73)+P$45)</f>
        <v/>
      </c>
      <c r="Q73" s="1"/>
    </row>
    <row r="74" spans="2:17" x14ac:dyDescent="0.2">
      <c r="B74" s="1"/>
      <c r="C74" s="20">
        <f t="shared" si="6"/>
        <v>29</v>
      </c>
      <c r="D74" s="23"/>
      <c r="E74" s="23"/>
      <c r="F74" s="21">
        <f>(ACTION!$K$14-ACTION!$K$26)*((1-ACTION!$K$45)^$C73)*ACTION!$K$43*(1+ACTION!$K$48)^C73+(ACTION!$K$16-ACTION!$K$29)*((1-ACTION!$K$46)^$C73)*ACTION!$K$17*(1+ACTION!$K$49)^C73+(ACTION!$K$19-ACTION!$K$30)*((1-ACTION!$K$47)^$C73)*ACTION!$K$20*(1+ACTION!$K$50)^C73+ACTION!K$21</f>
        <v>53675.210418070994</v>
      </c>
      <c r="G74" s="21">
        <f>IF(C74&lt;=ACTION!$I$67,-F74*ACTION!I$65,0)</f>
        <v>0</v>
      </c>
      <c r="H74" s="21">
        <f>-IF(C74&lt;=ACTION!$H$60,0,IF(C74&lt;=ACTION!$H$59,-PMT(ACTION!$H$58,ACTION!$H$59-ACTION!$H$60,ACTION!$H$56),0))</f>
        <v>0</v>
      </c>
      <c r="I74" s="71"/>
      <c r="J74" s="110">
        <f>IF(C74&gt;ACTION!$I$67,-ACTION!K$27*((1+ACTION!$K$42)^C74),0)</f>
        <v>-1427.7791309991137</v>
      </c>
      <c r="K74" s="21">
        <f>-IF(MOD(C74,ACTION!$K$23)=0,ACTION!$K$22*(1+ACTION!$K$42)^C74,0)</f>
        <v>0</v>
      </c>
      <c r="L74" s="21">
        <f t="shared" si="5"/>
        <v>52247.431287071879</v>
      </c>
      <c r="M74" s="21" t="str">
        <f>IF(C74&gt;ACTION!$K$11,"",M73+L74)</f>
        <v/>
      </c>
      <c r="N74" s="66"/>
      <c r="O74" s="94" t="str">
        <f>IF(C74&gt;ACTION!K$11,"",IF(ISERROR(IRR($L$45:L74)),"",IRR($L$45:L74)))</f>
        <v/>
      </c>
      <c r="P74" s="95" t="str">
        <f>IF(C74&gt;ACTION!K$11,"",NPV(ACTION!$K$53,L$46:L74)+P$45)</f>
        <v/>
      </c>
      <c r="Q74" s="1"/>
    </row>
    <row r="75" spans="2:17" x14ac:dyDescent="0.2">
      <c r="B75" s="1"/>
      <c r="C75" s="20">
        <f t="shared" si="6"/>
        <v>30</v>
      </c>
      <c r="D75" s="23"/>
      <c r="E75" s="23"/>
      <c r="F75" s="21">
        <f>(ACTION!$K$14-ACTION!$K$26)*((1-ACTION!$K$45)^$C74)*ACTION!$K$43*(1+ACTION!$K$48)^C74+(ACTION!$K$16-ACTION!$K$29)*((1-ACTION!$K$46)^$C74)*ACTION!$K$17*(1+ACTION!$K$49)^C74+(ACTION!$K$19-ACTION!$K$30)*((1-ACTION!$K$47)^$C74)*ACTION!$K$20*(1+ACTION!$K$50)^C74+ACTION!K$21</f>
        <v>53669.890797029177</v>
      </c>
      <c r="G75" s="21">
        <f>IF(C75&lt;=ACTION!$I$67,-F75*ACTION!I$65,0)</f>
        <v>0</v>
      </c>
      <c r="H75" s="21">
        <f>-IF(C75&lt;=ACTION!$H$60,0,IF(C75&lt;=ACTION!$H$59,-PMT(ACTION!$H$58,ACTION!$H$59-ACTION!$H$60,ACTION!$H$56),0))</f>
        <v>0</v>
      </c>
      <c r="I75" s="71"/>
      <c r="J75" s="110">
        <f>IF(C75&gt;ACTION!$I$67,-ACTION!K$27*((1+ACTION!$K$42)^C75),0)</f>
        <v>-1456.3347136190962</v>
      </c>
      <c r="K75" s="21">
        <f>-IF(MOD(C75,ACTION!$K$23)=0,ACTION!$K$22*(1+ACTION!$K$42)^C75,0)</f>
        <v>0</v>
      </c>
      <c r="L75" s="21">
        <f t="shared" si="5"/>
        <v>52213.556083410083</v>
      </c>
      <c r="M75" s="21" t="str">
        <f>IF(C75&gt;ACTION!$K$11,"",M74+L75)</f>
        <v/>
      </c>
      <c r="N75" s="66"/>
      <c r="O75" s="94" t="str">
        <f>IF(C75&gt;ACTION!K$11,"",IF(ISERROR(IRR($L$45:L75)),"",IRR($L$45:L75)))</f>
        <v/>
      </c>
      <c r="P75" s="95" t="str">
        <f>IF(C75&gt;ACTION!K$11,"",NPV(ACTION!$K$53,L$46:L75)+P$45)</f>
        <v/>
      </c>
      <c r="Q75" s="1"/>
    </row>
    <row r="76" spans="2:17" x14ac:dyDescent="0.2">
      <c r="B76" s="1"/>
      <c r="C76" s="20">
        <f t="shared" si="6"/>
        <v>31</v>
      </c>
      <c r="D76" s="23"/>
      <c r="E76" s="23"/>
      <c r="F76" s="21">
        <f>(ACTION!$K$14-ACTION!$K$26)*((1-ACTION!$K$45)^$C75)*ACTION!$K$43*(1+ACTION!$K$48)^C75+(ACTION!$K$16-ACTION!$K$29)*((1-ACTION!$K$46)^$C75)*ACTION!$K$17*(1+ACTION!$K$49)^C75+(ACTION!$K$19-ACTION!$K$30)*((1-ACTION!$K$47)^$C75)*ACTION!$K$20*(1+ACTION!$K$50)^C75+ACTION!K$21</f>
        <v>53664.571707949493</v>
      </c>
      <c r="G76" s="21">
        <f>IF(C76&lt;=ACTION!$I$67,-F76*ACTION!I$65,0)</f>
        <v>0</v>
      </c>
      <c r="H76" s="21">
        <f>-IF(C76&lt;=ACTION!$H$60,0,IF(C76&lt;=ACTION!$H$59,-PMT(ACTION!$H$58,ACTION!$H$59-ACTION!$H$60,ACTION!$H$56),0))</f>
        <v>0</v>
      </c>
      <c r="I76" s="71"/>
      <c r="J76" s="110">
        <f>IF(C76&gt;ACTION!$I$67,-ACTION!K$27*((1+ACTION!$K$42)^C76),0)</f>
        <v>-1485.4614078914778</v>
      </c>
      <c r="K76" s="21">
        <f>-IF(MOD(C76,ACTION!$K$23)=0,ACTION!$K$22*(1+ACTION!$K$42)^C76,0)</f>
        <v>0</v>
      </c>
      <c r="L76" s="21">
        <f t="shared" si="5"/>
        <v>52179.110300058019</v>
      </c>
      <c r="M76" s="21" t="str">
        <f>IF(C76&gt;ACTION!$K$11,"",M75+L76)</f>
        <v/>
      </c>
      <c r="N76" s="66"/>
      <c r="O76" s="94" t="str">
        <f>IF(C76&gt;ACTION!K$11,"",IF(ISERROR(IRR($L$45:L76)),"",IRR($L$45:L76)))</f>
        <v/>
      </c>
      <c r="P76" s="95" t="str">
        <f>IF(C76&gt;ACTION!K$11,"",NPV(ACTION!$K$53,L$46:L76)+P$45)</f>
        <v/>
      </c>
      <c r="Q76" s="1"/>
    </row>
    <row r="77" spans="2:17" x14ac:dyDescent="0.2">
      <c r="B77" s="1"/>
      <c r="C77" s="20">
        <f t="shared" si="6"/>
        <v>32</v>
      </c>
      <c r="D77" s="23"/>
      <c r="E77" s="23"/>
      <c r="F77" s="21">
        <f>(ACTION!$K$14-ACTION!$K$26)*((1-ACTION!$K$45)^$C76)*ACTION!$K$43*(1+ACTION!$K$48)^C76+(ACTION!$K$16-ACTION!$K$29)*((1-ACTION!$K$46)^$C76)*ACTION!$K$17*(1+ACTION!$K$49)^C76+(ACTION!$K$19-ACTION!$K$30)*((1-ACTION!$K$47)^$C76)*ACTION!$K$20*(1+ACTION!$K$50)^C76+ACTION!K$21</f>
        <v>53659.253150778684</v>
      </c>
      <c r="G77" s="21">
        <f>IF(C77&lt;=ACTION!$I$67,-F77*ACTION!I$65,0)</f>
        <v>0</v>
      </c>
      <c r="H77" s="21">
        <f>-IF(C77&lt;=ACTION!$H$60,0,IF(C77&lt;=ACTION!$H$59,-PMT(ACTION!$H$58,ACTION!$H$59-ACTION!$H$60,ACTION!$H$56),0))</f>
        <v>0</v>
      </c>
      <c r="I77" s="71"/>
      <c r="J77" s="110">
        <f>IF(C77&gt;ACTION!$I$67,-ACTION!K$27*((1+ACTION!$K$42)^C77),0)</f>
        <v>-1515.1706360493076</v>
      </c>
      <c r="K77" s="21">
        <f>-IF(MOD(C77,ACTION!$K$23)=0,ACTION!$K$22*(1+ACTION!$K$42)^C77,0)</f>
        <v>-1.8845405921011289</v>
      </c>
      <c r="L77" s="21">
        <f t="shared" si="5"/>
        <v>52142.197974137278</v>
      </c>
      <c r="M77" s="21" t="str">
        <f>IF(C77&gt;ACTION!$K$11,"",M76+L77)</f>
        <v/>
      </c>
      <c r="N77" s="66"/>
      <c r="O77" s="94" t="str">
        <f>IF(C77&gt;ACTION!K$11,"",IF(ISERROR(IRR($L$45:L77)),"",IRR($L$45:L77)))</f>
        <v/>
      </c>
      <c r="P77" s="95" t="str">
        <f>IF(C77&gt;ACTION!K$11,"",NPV(ACTION!$K$53,L$46:L77)+P$45)</f>
        <v/>
      </c>
      <c r="Q77" s="1"/>
    </row>
    <row r="78" spans="2:17" x14ac:dyDescent="0.2">
      <c r="B78" s="1"/>
      <c r="C78" s="20">
        <f t="shared" si="6"/>
        <v>33</v>
      </c>
      <c r="D78" s="23"/>
      <c r="E78" s="23"/>
      <c r="F78" s="21">
        <f>(ACTION!$K$14-ACTION!$K$26)*((1-ACTION!$K$45)^$C77)*ACTION!$K$43*(1+ACTION!$K$48)^C77+(ACTION!$K$16-ACTION!$K$29)*((1-ACTION!$K$46)^$C77)*ACTION!$K$17*(1+ACTION!$K$49)^C77+(ACTION!$K$19-ACTION!$K$30)*((1-ACTION!$K$47)^$C77)*ACTION!$K$20*(1+ACTION!$K$50)^C77+ACTION!K$21</f>
        <v>53653.935125463613</v>
      </c>
      <c r="G78" s="21">
        <f>IF(C78&lt;=ACTION!$I$67,-F78*ACTION!I$65,0)</f>
        <v>0</v>
      </c>
      <c r="H78" s="21">
        <f>-IF(C78&lt;=ACTION!$H$60,0,IF(C78&lt;=ACTION!$H$59,-PMT(ACTION!$H$58,ACTION!$H$59-ACTION!$H$60,ACTION!$H$56),0))</f>
        <v>0</v>
      </c>
      <c r="I78" s="71"/>
      <c r="J78" s="110">
        <f>IF(C78&gt;ACTION!$I$67,-ACTION!K$27*((1+ACTION!$K$42)^C78),0)</f>
        <v>-1545.4740487702938</v>
      </c>
      <c r="K78" s="21">
        <f>-IF(MOD(C78,ACTION!$K$23)=0,ACTION!$K$22*(1+ACTION!$K$42)^C78,0)</f>
        <v>0</v>
      </c>
      <c r="L78" s="21">
        <f t="shared" si="5"/>
        <v>52108.461076693318</v>
      </c>
      <c r="M78" s="21" t="str">
        <f>IF(C78&gt;ACTION!$K$11,"",M77+L78)</f>
        <v/>
      </c>
      <c r="N78" s="66"/>
      <c r="O78" s="94" t="str">
        <f>IF(C78&gt;ACTION!K$11,"",IF(ISERROR(IRR($L$45:L78)),"",IRR($L$45:L78)))</f>
        <v/>
      </c>
      <c r="P78" s="95" t="str">
        <f>IF(C78&gt;ACTION!K$11,"",NPV(ACTION!$K$53,L$46:L78)+P$45)</f>
        <v/>
      </c>
      <c r="Q78" s="1"/>
    </row>
    <row r="79" spans="2:17" x14ac:dyDescent="0.2">
      <c r="B79" s="1"/>
      <c r="C79" s="20">
        <f t="shared" si="6"/>
        <v>34</v>
      </c>
      <c r="D79" s="23"/>
      <c r="E79" s="23"/>
      <c r="F79" s="21">
        <f>(ACTION!$K$14-ACTION!$K$26)*((1-ACTION!$K$45)^$C78)*ACTION!$K$43*(1+ACTION!$K$48)^C78+(ACTION!$K$16-ACTION!$K$29)*((1-ACTION!$K$46)^$C78)*ACTION!$K$17*(1+ACTION!$K$49)^C78+(ACTION!$K$19-ACTION!$K$30)*((1-ACTION!$K$47)^$C78)*ACTION!$K$20*(1+ACTION!$K$50)^C78+ACTION!K$21</f>
        <v>53648.617631951063</v>
      </c>
      <c r="G79" s="21">
        <f>IF(C79&lt;=ACTION!$I$67,-F79*ACTION!I$65,0)</f>
        <v>0</v>
      </c>
      <c r="H79" s="21">
        <f>-IF(C79&lt;=ACTION!$H$60,0,IF(C79&lt;=ACTION!$H$59,-PMT(ACTION!$H$58,ACTION!$H$59-ACTION!$H$60,ACTION!$H$56),0))</f>
        <v>0</v>
      </c>
      <c r="I79" s="71"/>
      <c r="J79" s="110">
        <f>IF(C79&gt;ACTION!$I$67,-ACTION!K$27*((1+ACTION!$K$42)^C79),0)</f>
        <v>-1576.3835297456997</v>
      </c>
      <c r="K79" s="21">
        <f>-IF(MOD(C79,ACTION!$K$23)=0,ACTION!$K$22*(1+ACTION!$K$42)^C79,0)</f>
        <v>0</v>
      </c>
      <c r="L79" s="21">
        <f t="shared" si="5"/>
        <v>52072.234102205366</v>
      </c>
      <c r="M79" s="21" t="str">
        <f>IF(C79&gt;ACTION!$K$11,"",M78+L79)</f>
        <v/>
      </c>
      <c r="N79" s="66"/>
      <c r="O79" s="94" t="str">
        <f>IF(C79&gt;ACTION!K$11,"",IF(ISERROR(IRR($L$45:L79)),"",IRR($L$45:L79)))</f>
        <v/>
      </c>
      <c r="P79" s="95" t="str">
        <f>IF(C79&gt;ACTION!K$11,"",NPV(ACTION!$K$53,L$46:L79)+P$45)</f>
        <v/>
      </c>
      <c r="Q79" s="1"/>
    </row>
    <row r="80" spans="2:17" x14ac:dyDescent="0.2">
      <c r="B80" s="1"/>
      <c r="C80" s="20">
        <f t="shared" si="6"/>
        <v>35</v>
      </c>
      <c r="D80" s="23"/>
      <c r="E80" s="23"/>
      <c r="F80" s="21">
        <f>(ACTION!$K$14-ACTION!$K$26)*((1-ACTION!$K$45)^$C79)*ACTION!$K$43*(1+ACTION!$K$48)^C79+(ACTION!$K$16-ACTION!$K$29)*((1-ACTION!$K$46)^$C79)*ACTION!$K$17*(1+ACTION!$K$49)^C79+(ACTION!$K$19-ACTION!$K$30)*((1-ACTION!$K$47)^$C79)*ACTION!$K$20*(1+ACTION!$K$50)^C79+ACTION!K$21</f>
        <v>53643.300670187877</v>
      </c>
      <c r="G80" s="21">
        <f>IF(C80&lt;=ACTION!$I$67,-F80*ACTION!I$65,0)</f>
        <v>0</v>
      </c>
      <c r="H80" s="21">
        <f>-IF(C80&lt;=ACTION!$H$60,0,IF(C80&lt;=ACTION!$H$59,-PMT(ACTION!$H$58,ACTION!$H$59-ACTION!$H$60,ACTION!$H$56),0))</f>
        <v>0</v>
      </c>
      <c r="I80" s="71"/>
      <c r="J80" s="110">
        <f>IF(C80&gt;ACTION!$I$67,-ACTION!K$27*((1+ACTION!$K$42)^C80),0)</f>
        <v>-1607.9112003406135</v>
      </c>
      <c r="K80" s="21">
        <f>-IF(MOD(C80,ACTION!$K$23)=0,ACTION!$K$22*(1+ACTION!$K$42)^C80,0)</f>
        <v>0</v>
      </c>
      <c r="L80" s="21">
        <f t="shared" si="5"/>
        <v>52035.389469847265</v>
      </c>
      <c r="M80" s="21" t="str">
        <f>IF(C80&gt;ACTION!$K$11,"",M79+L80)</f>
        <v/>
      </c>
      <c r="N80" s="66"/>
      <c r="O80" s="94" t="str">
        <f>IF(C80&gt;ACTION!K$11,"",IF(ISERROR(IRR($L$45:L80)),"",IRR($L$45:L80)))</f>
        <v/>
      </c>
      <c r="P80" s="95" t="str">
        <f>IF(C80&gt;ACTION!K$11,"",NPV(ACTION!$K$53,L$46:L80)+P$45)</f>
        <v/>
      </c>
      <c r="Q80" s="1"/>
    </row>
    <row r="81" spans="2:19" x14ac:dyDescent="0.2">
      <c r="B81" s="1"/>
      <c r="C81" s="88" t="s">
        <v>8</v>
      </c>
      <c r="D81" s="89">
        <f>SUM(D45:D65)</f>
        <v>-40195.600000000035</v>
      </c>
      <c r="E81" s="90">
        <f>SUM(E46:E65)</f>
        <v>0</v>
      </c>
      <c r="F81" s="89">
        <f>SUM(F45:F80)</f>
        <v>1880682.5987914263</v>
      </c>
      <c r="G81" s="89">
        <f>SUM(G45:G80)</f>
        <v>-403502.82735843747</v>
      </c>
      <c r="H81" s="89">
        <f>SUM(H45:H80)</f>
        <v>-463392.38574633677</v>
      </c>
      <c r="I81" s="89">
        <f>SUM(I45:I65)</f>
        <v>0</v>
      </c>
      <c r="J81" s="89">
        <f>SUM(J45:J80)</f>
        <v>-32019.824019906293</v>
      </c>
      <c r="K81" s="89">
        <f>SUM(K45:K80)</f>
        <v>-11.615068484384057</v>
      </c>
      <c r="L81" s="89">
        <f>SUM(L45:L80)</f>
        <v>941560.34659826127</v>
      </c>
      <c r="M81" s="89"/>
      <c r="N81" s="90">
        <f>SUM(N46:N80)</f>
        <v>15</v>
      </c>
      <c r="O81" s="92">
        <f>MAX(O46:O80)</f>
        <v>-7.9739887075149785E-2</v>
      </c>
      <c r="P81" s="91">
        <f>MAX(P45:P80)</f>
        <v>-40195.600000000035</v>
      </c>
      <c r="Q81" s="1"/>
    </row>
    <row r="83" spans="2:19" ht="13.5" thickBot="1" x14ac:dyDescent="0.25"/>
    <row r="84" spans="2:19" x14ac:dyDescent="0.2">
      <c r="C84" s="1"/>
      <c r="D84" s="45" t="s">
        <v>38</v>
      </c>
      <c r="E84" s="49" t="s">
        <v>57</v>
      </c>
      <c r="F84" s="50"/>
      <c r="G84" s="51">
        <f>MAX(M87:M106)</f>
        <v>0.38261537310602711</v>
      </c>
      <c r="H84" s="284" t="s">
        <v>99</v>
      </c>
      <c r="I84" s="284"/>
      <c r="J84" s="284"/>
      <c r="K84" s="106">
        <f>ACTION!I68</f>
        <v>0.08</v>
      </c>
      <c r="L84" s="46"/>
      <c r="M84" s="46"/>
      <c r="N84" s="46"/>
      <c r="O84" s="46"/>
      <c r="P84" s="46"/>
      <c r="Q84" s="47"/>
      <c r="R84" s="1"/>
      <c r="S84" s="1"/>
    </row>
    <row r="85" spans="2:19" ht="118.5" x14ac:dyDescent="0.2">
      <c r="C85" s="1"/>
      <c r="D85" s="56" t="s">
        <v>4</v>
      </c>
      <c r="E85" s="57" t="s">
        <v>41</v>
      </c>
      <c r="F85" s="57"/>
      <c r="G85" s="57" t="s">
        <v>56</v>
      </c>
      <c r="H85" s="58" t="s">
        <v>51</v>
      </c>
      <c r="I85" s="58" t="s">
        <v>55</v>
      </c>
      <c r="J85" s="58" t="s">
        <v>58</v>
      </c>
      <c r="K85" s="57" t="s">
        <v>48</v>
      </c>
      <c r="L85" s="57" t="s">
        <v>5</v>
      </c>
      <c r="M85" s="57" t="s">
        <v>49</v>
      </c>
      <c r="N85" s="59" t="s">
        <v>46</v>
      </c>
      <c r="O85" s="59" t="s">
        <v>98</v>
      </c>
      <c r="P85" s="57"/>
      <c r="Q85" s="60"/>
      <c r="R85" s="1"/>
      <c r="S85" s="1"/>
    </row>
    <row r="86" spans="2:19" x14ac:dyDescent="0.2">
      <c r="C86" s="1"/>
      <c r="D86" s="20">
        <v>0</v>
      </c>
      <c r="E86" s="21">
        <f>-ACTION!I56</f>
        <v>-80391.200000000012</v>
      </c>
      <c r="F86" s="44"/>
      <c r="G86" s="21">
        <f>E86*0.1</f>
        <v>-8039.1200000000017</v>
      </c>
      <c r="H86" s="48"/>
      <c r="I86" s="48"/>
      <c r="J86" s="1"/>
      <c r="K86" s="44"/>
      <c r="L86" s="21">
        <f>E86+G86+I86+K86+H86</f>
        <v>-88430.32</v>
      </c>
      <c r="M86" s="41"/>
      <c r="N86" s="21">
        <f>L86</f>
        <v>-88430.32</v>
      </c>
      <c r="O86" s="104" t="str">
        <f t="shared" ref="O86:O106" si="7">+IF(AND(N86&lt;0,N87&gt;0),D86," ")</f>
        <v xml:space="preserve"> </v>
      </c>
      <c r="P86" s="21"/>
      <c r="Q86" s="22"/>
      <c r="R86" s="1"/>
      <c r="S86" s="1"/>
    </row>
    <row r="87" spans="2:19" x14ac:dyDescent="0.2">
      <c r="C87" s="1"/>
      <c r="D87" s="20">
        <v>1</v>
      </c>
      <c r="E87" s="44"/>
      <c r="F87" s="44"/>
      <c r="G87" s="4"/>
      <c r="H87" s="21">
        <f>IF(D87&lt;=ACTION!$I$67,-ACTION!K$27*((1+ACTION!$K$42)^Sheet1!C46),0)</f>
        <v>-820.08</v>
      </c>
      <c r="I87" s="21">
        <f>IF(D87&lt;=ACTION!$I$67,G$86*0.5*((1+ACTION!$K$42)^D87),0)</f>
        <v>-4099.9512000000013</v>
      </c>
      <c r="J87" s="61">
        <f>IF(D87&lt;=ACTION!$I$67,ACTION!$J156*((1+ACTION!$K$42)^D87),0)</f>
        <v>0</v>
      </c>
      <c r="K87" s="5">
        <f>-Sheet1!G46</f>
        <v>40368.282000000007</v>
      </c>
      <c r="L87" s="21">
        <f t="shared" ref="L87:L106" si="8">SUM(E87:K87)</f>
        <v>35448.250800000009</v>
      </c>
      <c r="M87" s="42">
        <f>IF(D87&gt;ACTION!$I$67,"",IF(ISERROR(IRR(L$86:L87)),"",IRR(L$86:L87)))</f>
        <v>-0.5991391776033379</v>
      </c>
      <c r="N87" s="21">
        <f>IF(D87&gt;ACTION!$I$67,"",N86+L87)</f>
        <v>-52982.069199999998</v>
      </c>
      <c r="O87" s="104" t="str">
        <f t="shared" si="7"/>
        <v xml:space="preserve"> </v>
      </c>
      <c r="P87" s="21"/>
      <c r="Q87" s="22"/>
      <c r="R87" s="101"/>
      <c r="S87" s="1"/>
    </row>
    <row r="88" spans="2:19" x14ac:dyDescent="0.2">
      <c r="C88" s="1"/>
      <c r="D88" s="20">
        <v>2</v>
      </c>
      <c r="E88" s="44"/>
      <c r="F88" s="44"/>
      <c r="G88" s="4"/>
      <c r="H88" s="21">
        <f>IF(D88&lt;=ACTION!$I$67,-ACTION!K$27*((1+ACTION!$K$42)^Sheet1!C47),0)</f>
        <v>-836.48159999999996</v>
      </c>
      <c r="I88" s="21">
        <f>IF(D88&lt;=ACTION!$I$67,G$86*0.5*((1+ACTION!$K$42)^D88),0)</f>
        <v>-4181.9502240000011</v>
      </c>
      <c r="J88" s="61">
        <f>IF(D88&lt;=ACTION!$I$67,ACTION!$J157*((1+ACTION!$K$42)^D88),0)</f>
        <v>0</v>
      </c>
      <c r="K88" s="5">
        <f>-Sheet1!G47</f>
        <v>40364.281096800005</v>
      </c>
      <c r="L88" s="21">
        <f t="shared" si="8"/>
        <v>35345.849272800006</v>
      </c>
      <c r="M88" s="42">
        <f>IF(D88&gt;ACTION!$I$67,"",IF(ISERROR(IRR(L$86:L88)),"",IRR(L$86:L88)))</f>
        <v>-0.13633872327419916</v>
      </c>
      <c r="N88" s="21">
        <f>IF(D88&gt;ACTION!$I$67,"",N87+L88)</f>
        <v>-17636.219927199993</v>
      </c>
      <c r="O88" s="104">
        <f t="shared" si="7"/>
        <v>2</v>
      </c>
      <c r="P88" s="21"/>
      <c r="Q88" s="22"/>
      <c r="R88" s="1"/>
      <c r="S88" s="1"/>
    </row>
    <row r="89" spans="2:19" x14ac:dyDescent="0.2">
      <c r="C89" s="1"/>
      <c r="D89" s="20">
        <v>3</v>
      </c>
      <c r="E89" s="44"/>
      <c r="F89" s="44"/>
      <c r="G89" s="4"/>
      <c r="H89" s="21">
        <f>IF(D89&lt;=ACTION!$I$67,-ACTION!K$27*((1+ACTION!$K$42)^Sheet1!C48),0)</f>
        <v>-853.211232</v>
      </c>
      <c r="I89" s="21">
        <f>IF(D89&lt;=ACTION!$I$67,G$86*0.5*((1+ACTION!$K$42)^D89),0)</f>
        <v>-4265.5892284800002</v>
      </c>
      <c r="J89" s="61">
        <f>IF(D89&lt;=ACTION!$I$67,ACTION!$J158*((1+ACTION!$K$42)^D89),0)</f>
        <v>0</v>
      </c>
      <c r="K89" s="5">
        <f>-Sheet1!G48</f>
        <v>40360.280593690317</v>
      </c>
      <c r="L89" s="21">
        <f t="shared" si="8"/>
        <v>35241.480133210316</v>
      </c>
      <c r="M89" s="42">
        <f>IF(D89&gt;ACTION!$I$67,"",IF(ISERROR(IRR(L$86:L89)),"",IRR(L$86:L89)))</f>
        <v>9.668089277592129E-2</v>
      </c>
      <c r="N89" s="21">
        <f>IF(D89&gt;ACTION!$I$67,"",N88+L89)</f>
        <v>17605.260206010324</v>
      </c>
      <c r="O89" s="104" t="str">
        <f t="shared" si="7"/>
        <v xml:space="preserve"> </v>
      </c>
      <c r="P89" s="21"/>
      <c r="Q89" s="22"/>
      <c r="R89" s="1"/>
      <c r="S89" s="1"/>
    </row>
    <row r="90" spans="2:19" x14ac:dyDescent="0.2">
      <c r="C90" s="1"/>
      <c r="D90" s="20">
        <v>4</v>
      </c>
      <c r="E90" s="44"/>
      <c r="F90" s="44"/>
      <c r="G90" s="4"/>
      <c r="H90" s="21">
        <f>IF(D90&lt;=ACTION!$I$67,-ACTION!K$27*((1+ACTION!$K$42)^Sheet1!C49),0)</f>
        <v>-870.27545664000002</v>
      </c>
      <c r="I90" s="21">
        <f>IF(D90&lt;=ACTION!$I$67,G$86*0.5*((1+ACTION!$K$42)^D90),0)</f>
        <v>-4350.9010130496008</v>
      </c>
      <c r="J90" s="61">
        <f>IF(D90&lt;=ACTION!$I$67,ACTION!$J159*((1+ACTION!$K$42)^D90),0)</f>
        <v>-1.1716593810022655</v>
      </c>
      <c r="K90" s="5">
        <f>-Sheet1!G49</f>
        <v>40356.280490630947</v>
      </c>
      <c r="L90" s="21">
        <f t="shared" si="8"/>
        <v>35133.932361560343</v>
      </c>
      <c r="M90" s="42">
        <f>IF(D90&gt;ACTION!$I$67,"",IF(ISERROR(IRR(L$86:L90)),"",IRR(L$86:L90)))</f>
        <v>0.21779374600692014</v>
      </c>
      <c r="N90" s="21">
        <f>IF(D90&gt;ACTION!$I$67,"",N89+L90)</f>
        <v>52739.192567570666</v>
      </c>
      <c r="O90" s="104" t="str">
        <f t="shared" si="7"/>
        <v xml:space="preserve"> </v>
      </c>
      <c r="P90" s="21"/>
      <c r="Q90" s="22"/>
      <c r="R90" s="1"/>
      <c r="S90" s="1"/>
    </row>
    <row r="91" spans="2:19" x14ac:dyDescent="0.2">
      <c r="C91" s="1"/>
      <c r="D91" s="20">
        <v>5</v>
      </c>
      <c r="E91" s="44"/>
      <c r="F91" s="44"/>
      <c r="G91" s="4"/>
      <c r="H91" s="21">
        <f>IF(D91&lt;=ACTION!$I$67,-ACTION!K$27*((1+ACTION!$K$42)^Sheet1!C50),0)</f>
        <v>-887.68096577280005</v>
      </c>
      <c r="I91" s="21">
        <f>IF(D91&lt;=ACTION!$I$67,G$86*0.5*((1+ACTION!$K$42)^D91),0)</f>
        <v>-4437.9190333105926</v>
      </c>
      <c r="J91" s="61">
        <f>IF(D91&lt;=ACTION!$I$67,ACTION!$J160*((1+ACTION!$K$42)^D91),0)</f>
        <v>0</v>
      </c>
      <c r="K91" s="5">
        <f>-Sheet1!G50</f>
        <v>40352.280787581883</v>
      </c>
      <c r="L91" s="21">
        <f t="shared" si="8"/>
        <v>35026.680788498488</v>
      </c>
      <c r="M91" s="42">
        <f>IF(D91&gt;ACTION!$I$67,"",IF(ISERROR(IRR(L$86:L91)),"",IRR(L$86:L91)))</f>
        <v>0.28531278409669447</v>
      </c>
      <c r="N91" s="21">
        <f>IF(D91&gt;ACTION!$I$67,"",N90+L91)</f>
        <v>87765.873356069147</v>
      </c>
      <c r="O91" s="104" t="str">
        <f t="shared" si="7"/>
        <v xml:space="preserve"> </v>
      </c>
      <c r="P91" s="21"/>
      <c r="Q91" s="22"/>
      <c r="R91" s="1"/>
      <c r="S91" s="1"/>
    </row>
    <row r="92" spans="2:19" x14ac:dyDescent="0.2">
      <c r="C92" s="1"/>
      <c r="D92" s="20">
        <v>6</v>
      </c>
      <c r="E92" s="44"/>
      <c r="F92" s="44"/>
      <c r="G92" s="4"/>
      <c r="H92" s="21">
        <f>IF(D92&lt;=ACTION!$I$67,-ACTION!K$27*((1+ACTION!$K$42)^Sheet1!C51),0)</f>
        <v>-905.43458508825609</v>
      </c>
      <c r="I92" s="21">
        <f>IF(D92&lt;=ACTION!$I$67,G$86*0.5*((1+ACTION!$K$42)^D92),0)</f>
        <v>-4526.6774139768049</v>
      </c>
      <c r="J92" s="61">
        <f>IF(D92&lt;=ACTION!$I$67,ACTION!$J161*((1+ACTION!$K$42)^D92),0)</f>
        <v>0</v>
      </c>
      <c r="K92" s="5">
        <f>-Sheet1!G51</f>
        <v>40348.281484503124</v>
      </c>
      <c r="L92" s="21">
        <f t="shared" si="8"/>
        <v>34916.169485438062</v>
      </c>
      <c r="M92" s="42">
        <f>IF(D92&gt;ACTION!$I$67,"",IF(ISERROR(IRR(L$86:L92)),"",IRR(L$86:L92)))</f>
        <v>0.32518760876149755</v>
      </c>
      <c r="N92" s="21">
        <f>IF(D92&gt;ACTION!$I$67,"",N91+L92)</f>
        <v>122682.04284150721</v>
      </c>
      <c r="O92" s="104" t="str">
        <f t="shared" si="7"/>
        <v xml:space="preserve"> </v>
      </c>
      <c r="P92" s="21"/>
      <c r="Q92" s="22"/>
      <c r="R92" s="1"/>
      <c r="S92" s="1"/>
    </row>
    <row r="93" spans="2:19" x14ac:dyDescent="0.2">
      <c r="C93" s="1"/>
      <c r="D93" s="20">
        <v>7</v>
      </c>
      <c r="E93" s="44"/>
      <c r="F93" s="44"/>
      <c r="G93" s="4"/>
      <c r="H93" s="21">
        <f>IF(D93&lt;=ACTION!$I$67,-ACTION!K$27*((1+ACTION!$K$42)^Sheet1!C52),0)</f>
        <v>-923.54327679002097</v>
      </c>
      <c r="I93" s="21">
        <f>IF(D93&lt;=ACTION!$I$67,G$86*0.5*((1+ACTION!$K$42)^D93),0)</f>
        <v>-4617.2109622563403</v>
      </c>
      <c r="J93" s="61">
        <f>IF(D93&lt;=ACTION!$I$67,ACTION!$J162*((1+ACTION!$K$42)^D93),0)</f>
        <v>0</v>
      </c>
      <c r="K93" s="5">
        <f>-Sheet1!G52</f>
        <v>40344.282581354681</v>
      </c>
      <c r="L93" s="21">
        <f t="shared" si="8"/>
        <v>34803.528342308316</v>
      </c>
      <c r="M93" s="42">
        <f>IF(D93&gt;ACTION!$I$67,"",IF(ISERROR(IRR(L$86:L93)),"",IRR(L$86:L93)))</f>
        <v>0.34979441266236999</v>
      </c>
      <c r="N93" s="21">
        <f>IF(D93&gt;ACTION!$I$67,"",N92+L93)</f>
        <v>157485.57118381554</v>
      </c>
      <c r="O93" s="104" t="str">
        <f t="shared" si="7"/>
        <v xml:space="preserve"> </v>
      </c>
      <c r="P93" s="21"/>
      <c r="Q93" s="22"/>
      <c r="R93" s="1"/>
      <c r="S93" s="1"/>
    </row>
    <row r="94" spans="2:19" x14ac:dyDescent="0.2">
      <c r="C94" s="1"/>
      <c r="D94" s="20">
        <v>8</v>
      </c>
      <c r="E94" s="44"/>
      <c r="F94" s="44"/>
      <c r="G94" s="4"/>
      <c r="H94" s="21">
        <f>IF(D94&lt;=ACTION!$I$67,-ACTION!K$27*((1+ACTION!$K$42)^Sheet1!C53),0)</f>
        <v>-942.01414232582147</v>
      </c>
      <c r="I94" s="21">
        <f>IF(D94&lt;=ACTION!$I$67,G$86*0.5*((1+ACTION!$K$42)^D94),0)</f>
        <v>-4709.5551815014678</v>
      </c>
      <c r="J94" s="61">
        <f>IF(D94&lt;=ACTION!$I$67,ACTION!$J163*((1+ACTION!$K$42)^D94),0)</f>
        <v>-1.372785705090612</v>
      </c>
      <c r="K94" s="5">
        <f>-Sheet1!G53</f>
        <v>40340.284078096534</v>
      </c>
      <c r="L94" s="21">
        <f t="shared" si="8"/>
        <v>34687.341968564157</v>
      </c>
      <c r="M94" s="42">
        <f>IF(D94&gt;ACTION!$I$67,"",IF(ISERROR(IRR(L$86:L94)),"",IRR(L$86:L94)))</f>
        <v>0.36549195610407348</v>
      </c>
      <c r="N94" s="21">
        <f>IF(D94&gt;ACTION!$I$67,"",N93+L94)</f>
        <v>192172.91315237968</v>
      </c>
      <c r="O94" s="104" t="str">
        <f t="shared" si="7"/>
        <v xml:space="preserve"> </v>
      </c>
      <c r="P94" s="21"/>
      <c r="Q94" s="22"/>
      <c r="R94" s="1"/>
      <c r="S94" s="1"/>
    </row>
    <row r="95" spans="2:19" x14ac:dyDescent="0.2">
      <c r="C95" s="1"/>
      <c r="D95" s="20">
        <v>9</v>
      </c>
      <c r="E95" s="44"/>
      <c r="F95" s="44"/>
      <c r="G95" s="4"/>
      <c r="H95" s="21">
        <f>IF(D95&lt;=ACTION!$I$67,-ACTION!K$27*((1+ACTION!$K$42)^Sheet1!C54),0)</f>
        <v>-960.85442517233787</v>
      </c>
      <c r="I95" s="21">
        <f>IF(D95&lt;=ACTION!$I$67,G$86*0.5*((1+ACTION!$K$42)^D95),0)</f>
        <v>-4803.7462851314967</v>
      </c>
      <c r="J95" s="61">
        <f>IF(D95&lt;=ACTION!$I$67,ACTION!$J164*((1+ACTION!$K$42)^D95),0)</f>
        <v>0</v>
      </c>
      <c r="K95" s="5">
        <f>-Sheet1!G54</f>
        <v>40336.285974688733</v>
      </c>
      <c r="L95" s="21">
        <f t="shared" si="8"/>
        <v>34571.685264384898</v>
      </c>
      <c r="M95" s="42">
        <f>IF(D95&gt;ACTION!$I$67,"",IF(ISERROR(IRR(L$86:L95)),"",IRR(L$86:L95)))</f>
        <v>0.37576329479835247</v>
      </c>
      <c r="N95" s="21">
        <f>IF(D95&gt;ACTION!$I$67,"",N94+L95)</f>
        <v>226744.59841676458</v>
      </c>
      <c r="O95" s="104" t="str">
        <f t="shared" si="7"/>
        <v xml:space="preserve"> </v>
      </c>
      <c r="P95" s="21"/>
      <c r="Q95" s="22"/>
      <c r="R95" s="1"/>
      <c r="S95" s="1"/>
    </row>
    <row r="96" spans="2:19" x14ac:dyDescent="0.2">
      <c r="C96" s="1"/>
      <c r="D96" s="20">
        <v>10</v>
      </c>
      <c r="E96" s="44"/>
      <c r="F96" s="44"/>
      <c r="G96" s="4"/>
      <c r="H96" s="21">
        <f>IF(D96&lt;=ACTION!$I$67,-ACTION!K$27*((1+ACTION!$K$42)^Sheet1!C55),0)</f>
        <v>-980.07151367578467</v>
      </c>
      <c r="I96" s="21">
        <f>IF(D96&lt;=ACTION!$I$67,G$86*0.5*((1+ACTION!$K$42)^D96),0)</f>
        <v>-4899.8212108341268</v>
      </c>
      <c r="J96" s="61">
        <f>IF(D96&lt;=ACTION!$I$67,ACTION!$J165*((1+ACTION!$K$42)^D96),0)</f>
        <v>0</v>
      </c>
      <c r="K96" s="5">
        <f>-Sheet1!G55</f>
        <v>40332.288271091267</v>
      </c>
      <c r="L96" s="21">
        <f t="shared" si="8"/>
        <v>34452.395546581356</v>
      </c>
      <c r="M96" s="42">
        <f>IF(D96&gt;ACTION!$I$67,"",IF(ISERROR(IRR(L$86:L96)),"",IRR(L$86:L96)))</f>
        <v>0.38261537310602711</v>
      </c>
      <c r="N96" s="21">
        <f>IF(D96&gt;ACTION!$I$67,"",N95+L96)</f>
        <v>261196.99396334594</v>
      </c>
      <c r="O96" s="104" t="str">
        <f t="shared" si="7"/>
        <v xml:space="preserve"> </v>
      </c>
      <c r="P96" s="21"/>
      <c r="Q96" s="22"/>
      <c r="R96" s="1"/>
      <c r="S96" s="1"/>
    </row>
    <row r="97" spans="3:19" x14ac:dyDescent="0.2">
      <c r="C97" s="1"/>
      <c r="D97" s="20">
        <v>11</v>
      </c>
      <c r="E97" s="44"/>
      <c r="F97" s="44"/>
      <c r="G97" s="4"/>
      <c r="H97" s="21">
        <f>IF(D97&lt;=ACTION!$I$67,-ACTION!K$27*((1+ACTION!$K$42)^Sheet1!C56),0)</f>
        <v>0</v>
      </c>
      <c r="I97" s="21">
        <f>IF(D97&lt;=ACTION!$I$67,G$86*0.5*((1+ACTION!$K$42)^D97),0)</f>
        <v>0</v>
      </c>
      <c r="J97" s="61">
        <f>IF(D97&lt;=ACTION!$I$67,ACTION!$J166*((1+ACTION!$K$42)^D97),0)</f>
        <v>0</v>
      </c>
      <c r="K97" s="5">
        <f>-Sheet1!G56</f>
        <v>0</v>
      </c>
      <c r="L97" s="21">
        <f t="shared" si="8"/>
        <v>0</v>
      </c>
      <c r="M97" s="42" t="str">
        <f>IF(D97&gt;ACTION!$I$67,"",IF(ISERROR(IRR(L$86:L97)),"",IRR(L$86:L97)))</f>
        <v/>
      </c>
      <c r="N97" s="21" t="str">
        <f>IF(D97&gt;ACTION!$I$67,"",N96+L97)</f>
        <v/>
      </c>
      <c r="O97" s="104" t="str">
        <f t="shared" si="7"/>
        <v xml:space="preserve"> </v>
      </c>
      <c r="P97" s="21"/>
      <c r="Q97" s="22"/>
      <c r="R97" s="1"/>
      <c r="S97" s="1"/>
    </row>
    <row r="98" spans="3:19" x14ac:dyDescent="0.2">
      <c r="C98" s="1"/>
      <c r="D98" s="20">
        <v>12</v>
      </c>
      <c r="E98" s="44"/>
      <c r="F98" s="44"/>
      <c r="G98" s="4"/>
      <c r="H98" s="21">
        <f>IF(D98&lt;=ACTION!$I$67,-ACTION!K$27*((1+ACTION!$K$42)^Sheet1!C57),0)</f>
        <v>0</v>
      </c>
      <c r="I98" s="21">
        <f>IF(D98&lt;=ACTION!$I$67,G$86*0.5*((1+ACTION!$K$42)^D98),0)</f>
        <v>0</v>
      </c>
      <c r="J98" s="61">
        <f>IF(D98&lt;=ACTION!$I$67,ACTION!$J167*((1+ACTION!$K$42)^D98),0)</f>
        <v>0</v>
      </c>
      <c r="K98" s="5">
        <f>-Sheet1!G57</f>
        <v>0</v>
      </c>
      <c r="L98" s="21">
        <f t="shared" si="8"/>
        <v>0</v>
      </c>
      <c r="M98" s="42" t="str">
        <f>IF(D98&gt;ACTION!$I$67,"",IF(ISERROR(IRR(L$86:L98)),"",IRR(L$86:L98)))</f>
        <v/>
      </c>
      <c r="N98" s="21" t="str">
        <f>IF(D98&gt;ACTION!$I$67,"",N97+L98)</f>
        <v/>
      </c>
      <c r="O98" s="104" t="str">
        <f t="shared" si="7"/>
        <v xml:space="preserve"> </v>
      </c>
      <c r="P98" s="21"/>
      <c r="Q98" s="22"/>
      <c r="R98" s="1"/>
      <c r="S98" s="1"/>
    </row>
    <row r="99" spans="3:19" x14ac:dyDescent="0.2">
      <c r="C99" s="1"/>
      <c r="D99" s="20">
        <v>13</v>
      </c>
      <c r="E99" s="44"/>
      <c r="F99" s="44"/>
      <c r="G99" s="4"/>
      <c r="H99" s="21">
        <f>IF(D99&lt;=ACTION!$I$67,-ACTION!K$27*((1+ACTION!$K$42)^Sheet1!C58),0)</f>
        <v>0</v>
      </c>
      <c r="I99" s="21">
        <f>IF(D99&lt;=ACTION!$I$67,G$86*0.5*((1+ACTION!$K$42)^D99),0)</f>
        <v>0</v>
      </c>
      <c r="J99" s="61">
        <f>IF(D99&lt;=ACTION!$I$67,ACTION!$J168*((1+ACTION!$K$42)^D99),0)</f>
        <v>0</v>
      </c>
      <c r="K99" s="5">
        <f>-Sheet1!G58</f>
        <v>0</v>
      </c>
      <c r="L99" s="21">
        <f t="shared" si="8"/>
        <v>0</v>
      </c>
      <c r="M99" s="42" t="str">
        <f>IF(D99&gt;ACTION!$I$67,"",IF(ISERROR(IRR(L$86:L99)),"",IRR(L$86:L99)))</f>
        <v/>
      </c>
      <c r="N99" s="21" t="str">
        <f>IF(D99&gt;ACTION!$I$67,"",N98+L99)</f>
        <v/>
      </c>
      <c r="O99" s="104" t="str">
        <f t="shared" si="7"/>
        <v xml:space="preserve"> </v>
      </c>
      <c r="P99" s="21"/>
      <c r="Q99" s="22"/>
      <c r="R99" s="1"/>
      <c r="S99" s="1"/>
    </row>
    <row r="100" spans="3:19" x14ac:dyDescent="0.2">
      <c r="C100" s="1"/>
      <c r="D100" s="20">
        <v>14</v>
      </c>
      <c r="E100" s="44"/>
      <c r="F100" s="44"/>
      <c r="G100" s="4"/>
      <c r="H100" s="21">
        <f>IF(D100&lt;=ACTION!$I$67,-ACTION!K$27*((1+ACTION!$K$42)^Sheet1!C59),0)</f>
        <v>0</v>
      </c>
      <c r="I100" s="21">
        <f>IF(D100&lt;=ACTION!$I$67,G$86*0.5*((1+ACTION!$K$42)^D100),0)</f>
        <v>0</v>
      </c>
      <c r="J100" s="61">
        <f>IF(D100&lt;=ACTION!$I$67,ACTION!$J169*((1+ACTION!$K$42)^D100),0)</f>
        <v>0</v>
      </c>
      <c r="K100" s="5">
        <f>-Sheet1!G59</f>
        <v>0</v>
      </c>
      <c r="L100" s="21">
        <f t="shared" si="8"/>
        <v>0</v>
      </c>
      <c r="M100" s="42" t="str">
        <f>IF(D100&gt;ACTION!$I$67,"",IF(ISERROR(IRR(L$86:L100)),"",IRR(L$86:L100)))</f>
        <v/>
      </c>
      <c r="N100" s="21" t="str">
        <f>IF(D100&gt;ACTION!$I$67,"",N99+L100)</f>
        <v/>
      </c>
      <c r="O100" s="104" t="str">
        <f t="shared" si="7"/>
        <v xml:space="preserve"> </v>
      </c>
      <c r="P100" s="21"/>
      <c r="Q100" s="22"/>
      <c r="R100" s="1"/>
      <c r="S100" s="1"/>
    </row>
    <row r="101" spans="3:19" x14ac:dyDescent="0.2">
      <c r="C101" s="1"/>
      <c r="D101" s="20">
        <v>15</v>
      </c>
      <c r="E101" s="44"/>
      <c r="F101" s="44"/>
      <c r="G101" s="4"/>
      <c r="H101" s="21">
        <f>IF(D101&lt;=ACTION!$I$67,-ACTION!K$27*((1+ACTION!$K$42)^Sheet1!C60),0)</f>
        <v>0</v>
      </c>
      <c r="I101" s="21">
        <f>IF(D101&lt;=ACTION!$I$67,G$86*0.5*((1+ACTION!$K$42)^D101),0)</f>
        <v>0</v>
      </c>
      <c r="J101" s="61">
        <f>IF(D101&lt;=ACTION!$I$67,ACTION!$J170*((1+ACTION!$K$42)^D101),0)</f>
        <v>0</v>
      </c>
      <c r="K101" s="5">
        <f>-Sheet1!G60</f>
        <v>0</v>
      </c>
      <c r="L101" s="21">
        <f t="shared" si="8"/>
        <v>0</v>
      </c>
      <c r="M101" s="42" t="str">
        <f>IF(D101&gt;ACTION!$I$67,"",IF(ISERROR(IRR(L$86:L101)),"",IRR(L$86:L101)))</f>
        <v/>
      </c>
      <c r="N101" s="21" t="str">
        <f>IF(D101&gt;ACTION!$I$67,"",N100+L101)</f>
        <v/>
      </c>
      <c r="O101" s="104" t="str">
        <f t="shared" si="7"/>
        <v xml:space="preserve"> </v>
      </c>
      <c r="P101" s="21"/>
      <c r="Q101" s="22"/>
      <c r="R101" s="1"/>
      <c r="S101" s="1"/>
    </row>
    <row r="102" spans="3:19" x14ac:dyDescent="0.2">
      <c r="C102" s="1"/>
      <c r="D102" s="20">
        <v>16</v>
      </c>
      <c r="E102" s="44"/>
      <c r="F102" s="44"/>
      <c r="G102" s="4"/>
      <c r="H102" s="21">
        <f>IF(D102&lt;=ACTION!$I$67,-ACTION!K$27*((1+ACTION!$K$42)^Sheet1!C61),0)</f>
        <v>0</v>
      </c>
      <c r="I102" s="21">
        <f>IF(D102&lt;=ACTION!$I$67,G$86*0.5*((1+ACTION!$K$42)^D102),0)</f>
        <v>0</v>
      </c>
      <c r="J102" s="61">
        <f>IF(D102&lt;=ACTION!$I$67,ACTION!$J171*((1+ACTION!$K$42)^D102),0)</f>
        <v>0</v>
      </c>
      <c r="K102" s="5">
        <f>-Sheet1!G61</f>
        <v>0</v>
      </c>
      <c r="L102" s="21">
        <f t="shared" si="8"/>
        <v>0</v>
      </c>
      <c r="M102" s="42" t="str">
        <f>IF(D102&gt;ACTION!$I$67,"",IF(ISERROR(IRR(L$86:L102)),"",IRR(L$86:L102)))</f>
        <v/>
      </c>
      <c r="N102" s="21" t="str">
        <f>IF(D102&gt;ACTION!$I$67,"",N101+L102)</f>
        <v/>
      </c>
      <c r="O102" s="104" t="str">
        <f t="shared" si="7"/>
        <v xml:space="preserve"> </v>
      </c>
      <c r="P102" s="21"/>
      <c r="Q102" s="22"/>
      <c r="R102" s="1"/>
      <c r="S102" s="1"/>
    </row>
    <row r="103" spans="3:19" x14ac:dyDescent="0.2">
      <c r="C103" s="1"/>
      <c r="D103" s="20">
        <v>17</v>
      </c>
      <c r="E103" s="44"/>
      <c r="F103" s="44"/>
      <c r="G103" s="4"/>
      <c r="H103" s="21">
        <f>IF(D103&lt;=ACTION!$I$67,-ACTION!K$27*((1+ACTION!$K$42)^Sheet1!C62),0)</f>
        <v>0</v>
      </c>
      <c r="I103" s="21">
        <f>IF(D103&lt;=ACTION!$I$67,G$86*0.5*((1+ACTION!$K$42)^D103),0)</f>
        <v>0</v>
      </c>
      <c r="J103" s="61">
        <f>IF(D103&lt;=ACTION!$I$67,ACTION!$J172*((1+ACTION!$K$42)^D103),0)</f>
        <v>0</v>
      </c>
      <c r="K103" s="5">
        <f>-Sheet1!G62</f>
        <v>0</v>
      </c>
      <c r="L103" s="21">
        <f t="shared" si="8"/>
        <v>0</v>
      </c>
      <c r="M103" s="42" t="str">
        <f>IF(D103&gt;ACTION!$I$67,"",IF(ISERROR(IRR(L$86:L103)),"",IRR(L$86:L103)))</f>
        <v/>
      </c>
      <c r="N103" s="21" t="str">
        <f>IF(D103&gt;ACTION!$I$67,"",N102+L103)</f>
        <v/>
      </c>
      <c r="O103" s="104" t="str">
        <f t="shared" si="7"/>
        <v xml:space="preserve"> </v>
      </c>
      <c r="P103" s="21"/>
      <c r="Q103" s="22"/>
      <c r="R103" s="1"/>
      <c r="S103" s="1"/>
    </row>
    <row r="104" spans="3:19" x14ac:dyDescent="0.2">
      <c r="C104" s="1"/>
      <c r="D104" s="20">
        <v>18</v>
      </c>
      <c r="E104" s="44"/>
      <c r="F104" s="44"/>
      <c r="G104" s="4"/>
      <c r="H104" s="21">
        <f>IF(D104&lt;=ACTION!$I$67,-ACTION!K$27*((1+ACTION!$K$42)^Sheet1!C63),0)</f>
        <v>0</v>
      </c>
      <c r="I104" s="21">
        <f>IF(D104&lt;=ACTION!$I$67,G$86*0.5*((1+ACTION!$K$42)^D104),0)</f>
        <v>0</v>
      </c>
      <c r="J104" s="61">
        <f>IF(D104&lt;=ACTION!$I$67,ACTION!$J173*((1+ACTION!$K$42)^D104),0)</f>
        <v>0</v>
      </c>
      <c r="K104" s="5">
        <f>-Sheet1!G63</f>
        <v>0</v>
      </c>
      <c r="L104" s="21">
        <f t="shared" si="8"/>
        <v>0</v>
      </c>
      <c r="M104" s="42" t="str">
        <f>IF(D104&gt;ACTION!$I$67,"",IF(ISERROR(IRR(L$86:L104)),"",IRR(L$86:L104)))</f>
        <v/>
      </c>
      <c r="N104" s="21" t="str">
        <f>IF(D104&gt;ACTION!$I$67,"",N103+L104)</f>
        <v/>
      </c>
      <c r="O104" s="104" t="str">
        <f t="shared" si="7"/>
        <v xml:space="preserve"> </v>
      </c>
      <c r="P104" s="21"/>
      <c r="Q104" s="22"/>
      <c r="R104" s="1"/>
      <c r="S104" s="1"/>
    </row>
    <row r="105" spans="3:19" x14ac:dyDescent="0.2">
      <c r="C105" s="1"/>
      <c r="D105" s="20">
        <v>19</v>
      </c>
      <c r="E105" s="44"/>
      <c r="F105" s="44"/>
      <c r="G105" s="4"/>
      <c r="H105" s="21">
        <f>IF(D105&lt;=ACTION!$I$67,-ACTION!K$27*((1+ACTION!$K$42)^Sheet1!C64),0)</f>
        <v>0</v>
      </c>
      <c r="I105" s="21">
        <f>IF(D105&lt;=ACTION!$I$67,G$86*0.5*((1+ACTION!$K$42)^D105),0)</f>
        <v>0</v>
      </c>
      <c r="J105" s="61">
        <f>IF(D105&lt;=ACTION!$I$67,ACTION!$J174*((1+ACTION!$K$42)^D105),0)</f>
        <v>0</v>
      </c>
      <c r="K105" s="5">
        <f>-Sheet1!G64</f>
        <v>0</v>
      </c>
      <c r="L105" s="21">
        <f t="shared" si="8"/>
        <v>0</v>
      </c>
      <c r="M105" s="42" t="str">
        <f>IF(D105&gt;ACTION!$I$67,"",IF(ISERROR(IRR(L$86:L105)),"",IRR(L$86:L105)))</f>
        <v/>
      </c>
      <c r="N105" s="21" t="str">
        <f>IF(D105&gt;ACTION!$I$67,"",N104+L105)</f>
        <v/>
      </c>
      <c r="O105" s="104" t="str">
        <f t="shared" si="7"/>
        <v xml:space="preserve"> </v>
      </c>
      <c r="P105" s="21"/>
      <c r="Q105" s="22"/>
      <c r="R105" s="1"/>
      <c r="S105" s="1"/>
    </row>
    <row r="106" spans="3:19" x14ac:dyDescent="0.2">
      <c r="C106" s="1"/>
      <c r="D106" s="20">
        <v>20</v>
      </c>
      <c r="E106" s="44"/>
      <c r="F106" s="44"/>
      <c r="G106" s="4"/>
      <c r="H106" s="21">
        <f>IF(D106&lt;=ACTION!$I$67,-ACTION!K$27*((1+ACTION!$K$42)^Sheet1!C65),0)</f>
        <v>0</v>
      </c>
      <c r="I106" s="21">
        <f>IF(D106&lt;=ACTION!$I$67,G$86*0.5*((1+ACTION!$K$42)^D106),0)</f>
        <v>0</v>
      </c>
      <c r="J106" s="61">
        <f>IF(D106&lt;=ACTION!$I$67,#REF!*((1+ACTION!$K$42)^D106),0)</f>
        <v>0</v>
      </c>
      <c r="K106" s="5">
        <f>-Sheet1!G65</f>
        <v>0</v>
      </c>
      <c r="L106" s="21">
        <f t="shared" si="8"/>
        <v>0</v>
      </c>
      <c r="M106" s="42" t="str">
        <f>IF(D106&gt;ACTION!$I$67,"",IF(ISERROR(IRR(L$86:L106)),"",IRR(L$86:L106)))</f>
        <v/>
      </c>
      <c r="N106" s="21" t="str">
        <f>IF(D106&gt;ACTION!$I$67,"",N105+L106)</f>
        <v/>
      </c>
      <c r="O106" s="104" t="str">
        <f t="shared" si="7"/>
        <v xml:space="preserve"> </v>
      </c>
      <c r="P106" s="21"/>
      <c r="Q106" s="22"/>
      <c r="R106" s="1"/>
      <c r="S106" s="1"/>
    </row>
    <row r="107" spans="3:19" ht="13.5" thickBot="1" x14ac:dyDescent="0.25">
      <c r="C107" s="1"/>
      <c r="D107" s="285" t="s">
        <v>8</v>
      </c>
      <c r="E107" s="286"/>
      <c r="F107" s="286"/>
      <c r="G107" s="286"/>
      <c r="H107" s="102">
        <f>SUM(H86:H106)</f>
        <v>-8979.6471974650212</v>
      </c>
      <c r="I107" s="102">
        <f>SUM(I86:I106)</f>
        <v>-44893.32175254044</v>
      </c>
      <c r="J107" s="102">
        <f>SUM(J86:J106)</f>
        <v>-2.5444450860928773</v>
      </c>
      <c r="K107" s="102">
        <f>SUM(K86:K106)</f>
        <v>403502.82735843747</v>
      </c>
      <c r="L107" s="102">
        <f>SUM(L86:L106)</f>
        <v>261196.99396334594</v>
      </c>
      <c r="M107" s="103">
        <f>IRR(L86:L106)</f>
        <v>0.38261537310602711</v>
      </c>
      <c r="N107" s="102">
        <f>SUM(N86:N106)</f>
        <v>959343.83656026307</v>
      </c>
      <c r="O107" s="105">
        <f>SUM(O86:O106)</f>
        <v>2</v>
      </c>
      <c r="P107" s="24"/>
      <c r="Q107" s="25"/>
      <c r="R107" s="1"/>
      <c r="S107" s="1"/>
    </row>
    <row r="108" spans="3:19" x14ac:dyDescent="0.2">
      <c r="C108" s="1"/>
      <c r="D108" s="1"/>
      <c r="E108" s="1"/>
      <c r="F108" s="1"/>
      <c r="G108" s="1"/>
      <c r="H108" s="1"/>
      <c r="I108" s="1"/>
      <c r="J108" s="1"/>
      <c r="K108" s="1"/>
      <c r="L108" s="1"/>
      <c r="M108" s="1"/>
      <c r="N108" s="1"/>
      <c r="O108" s="1"/>
      <c r="P108" s="1"/>
      <c r="Q108" s="1"/>
      <c r="R108" s="1"/>
      <c r="S108" s="1"/>
    </row>
    <row r="109" spans="3:19" x14ac:dyDescent="0.2">
      <c r="C109" s="1"/>
      <c r="D109" s="1"/>
      <c r="E109" s="1"/>
      <c r="F109" s="1"/>
      <c r="G109" s="1"/>
      <c r="H109" s="1"/>
      <c r="I109" s="1"/>
      <c r="J109" s="1"/>
      <c r="K109" s="1"/>
      <c r="L109" s="1"/>
      <c r="M109" s="1"/>
      <c r="N109" s="1"/>
      <c r="O109" s="1"/>
      <c r="P109" s="1"/>
      <c r="Q109" s="1"/>
      <c r="R109" s="1"/>
      <c r="S109" s="1"/>
    </row>
    <row r="110" spans="3:19" x14ac:dyDescent="0.2">
      <c r="C110" s="1"/>
      <c r="D110" s="1"/>
      <c r="E110" s="1"/>
      <c r="F110" s="1"/>
      <c r="G110" s="1"/>
      <c r="H110" s="1"/>
      <c r="I110" s="1"/>
      <c r="J110" s="1"/>
      <c r="K110" s="1"/>
      <c r="L110" s="1"/>
      <c r="M110" s="1"/>
      <c r="N110" s="1"/>
      <c r="O110" s="1"/>
      <c r="P110" s="1"/>
      <c r="Q110" s="1"/>
      <c r="R110" s="1"/>
      <c r="S110" s="1"/>
    </row>
    <row r="111" spans="3:19" x14ac:dyDescent="0.2">
      <c r="C111" s="1"/>
      <c r="D111" s="1"/>
      <c r="E111" s="1"/>
      <c r="F111" s="1"/>
      <c r="G111" s="1"/>
      <c r="H111" s="1"/>
      <c r="I111" s="1"/>
      <c r="J111" s="1"/>
      <c r="K111" s="1"/>
      <c r="L111" s="1"/>
      <c r="M111" s="1"/>
      <c r="N111" s="1"/>
      <c r="O111" s="1"/>
      <c r="P111" s="1"/>
      <c r="Q111" s="1"/>
      <c r="R111" s="1"/>
      <c r="S111" s="1"/>
    </row>
    <row r="112" spans="3:19" x14ac:dyDescent="0.2">
      <c r="C112" s="1"/>
      <c r="D112" s="1"/>
      <c r="E112" s="1"/>
      <c r="F112" s="1"/>
      <c r="G112" s="1"/>
      <c r="H112" s="1"/>
      <c r="I112" s="1"/>
      <c r="J112" s="1"/>
      <c r="K112" s="1"/>
      <c r="L112" s="1"/>
      <c r="M112" s="1"/>
      <c r="N112" s="1"/>
      <c r="O112" s="1"/>
      <c r="P112" s="1"/>
      <c r="Q112" s="1"/>
      <c r="R112" s="1"/>
      <c r="S112" s="1"/>
    </row>
    <row r="113" spans="3:19" x14ac:dyDescent="0.2">
      <c r="C113" s="1"/>
      <c r="D113" s="1"/>
      <c r="E113" s="1"/>
      <c r="F113" s="1"/>
      <c r="G113" s="1"/>
      <c r="H113" s="1"/>
      <c r="I113" s="1"/>
      <c r="J113" s="1"/>
      <c r="K113" s="1"/>
      <c r="L113" s="1"/>
      <c r="M113" s="1"/>
      <c r="N113" s="1"/>
      <c r="O113" s="1"/>
      <c r="P113" s="1"/>
      <c r="Q113" s="1"/>
      <c r="R113" s="1"/>
      <c r="S113" s="1"/>
    </row>
    <row r="114" spans="3:19" x14ac:dyDescent="0.2">
      <c r="C114" s="1"/>
      <c r="D114" s="1"/>
      <c r="E114" s="1"/>
      <c r="F114" s="1"/>
      <c r="G114" s="1"/>
      <c r="H114" s="1"/>
      <c r="I114" s="1"/>
      <c r="J114" s="1"/>
      <c r="K114" s="1"/>
      <c r="L114" s="1"/>
      <c r="M114" s="1"/>
      <c r="N114" s="1"/>
      <c r="O114" s="1"/>
      <c r="P114" s="1"/>
      <c r="Q114" s="1"/>
      <c r="R114" s="1"/>
      <c r="S114" s="1"/>
    </row>
    <row r="115" spans="3:19" x14ac:dyDescent="0.2">
      <c r="C115" s="1"/>
      <c r="D115" s="1"/>
      <c r="E115" s="1"/>
      <c r="F115" s="1"/>
      <c r="G115" s="1"/>
      <c r="H115" s="1"/>
      <c r="I115" s="1"/>
      <c r="J115" s="1"/>
      <c r="K115" s="1"/>
      <c r="L115" s="1"/>
      <c r="M115" s="1"/>
      <c r="N115" s="1"/>
      <c r="O115" s="1"/>
      <c r="P115" s="1"/>
      <c r="Q115" s="1"/>
      <c r="R115" s="1"/>
      <c r="S115" s="1"/>
    </row>
    <row r="116" spans="3:19" x14ac:dyDescent="0.2">
      <c r="C116" s="1"/>
      <c r="D116" s="1"/>
      <c r="E116" s="1"/>
      <c r="F116" s="1"/>
      <c r="G116" s="1"/>
      <c r="H116" s="1"/>
      <c r="I116" s="1"/>
      <c r="J116" s="1"/>
      <c r="K116" s="1"/>
      <c r="L116" s="1"/>
      <c r="M116" s="1"/>
      <c r="N116" s="1"/>
      <c r="O116" s="1"/>
      <c r="P116" s="1"/>
      <c r="Q116" s="1"/>
      <c r="R116" s="1"/>
      <c r="S116" s="1"/>
    </row>
    <row r="117" spans="3:19" x14ac:dyDescent="0.2">
      <c r="C117" s="1"/>
      <c r="D117" s="1"/>
      <c r="E117" s="1"/>
      <c r="F117" s="1"/>
      <c r="G117" s="1"/>
      <c r="H117" s="1"/>
      <c r="I117" s="1"/>
      <c r="J117" s="1"/>
      <c r="K117" s="1"/>
      <c r="L117" s="1"/>
      <c r="M117" s="1"/>
      <c r="N117" s="1"/>
      <c r="O117" s="1"/>
      <c r="P117" s="1"/>
      <c r="Q117" s="1"/>
      <c r="R117" s="1"/>
      <c r="S117" s="1"/>
    </row>
    <row r="118" spans="3:19" x14ac:dyDescent="0.2">
      <c r="C118" s="1"/>
      <c r="D118" s="1"/>
      <c r="E118" s="1"/>
      <c r="F118" s="1"/>
      <c r="G118" s="1"/>
      <c r="H118" s="1"/>
      <c r="I118" s="1"/>
      <c r="J118" s="1"/>
      <c r="K118" s="1"/>
      <c r="L118" s="1"/>
      <c r="M118" s="1"/>
      <c r="N118" s="1"/>
      <c r="O118" s="1"/>
      <c r="P118" s="1"/>
      <c r="Q118" s="1"/>
      <c r="R118" s="1"/>
      <c r="S118" s="1"/>
    </row>
    <row r="119" spans="3:19" x14ac:dyDescent="0.2">
      <c r="C119" s="1"/>
      <c r="D119" s="1"/>
      <c r="E119" s="1"/>
      <c r="F119" s="1"/>
      <c r="G119" s="1"/>
      <c r="H119" s="1"/>
      <c r="I119" s="1"/>
      <c r="J119" s="1"/>
      <c r="K119" s="1"/>
      <c r="L119" s="1"/>
      <c r="M119" s="1"/>
      <c r="N119" s="1"/>
      <c r="O119" s="1"/>
      <c r="P119" s="1"/>
      <c r="Q119" s="1"/>
      <c r="R119" s="1"/>
      <c r="S119" s="1"/>
    </row>
    <row r="120" spans="3:19" x14ac:dyDescent="0.2">
      <c r="C120" s="1"/>
      <c r="D120" s="1"/>
      <c r="E120" s="1"/>
      <c r="F120" s="1"/>
      <c r="G120" s="1"/>
      <c r="H120" s="1"/>
      <c r="I120" s="1"/>
      <c r="J120" s="1"/>
      <c r="K120" s="1"/>
      <c r="L120" s="1"/>
      <c r="M120" s="1"/>
      <c r="N120" s="1"/>
      <c r="O120" s="1"/>
      <c r="P120" s="1"/>
      <c r="Q120" s="1"/>
      <c r="R120" s="1"/>
      <c r="S120" s="1"/>
    </row>
    <row r="121" spans="3:19" x14ac:dyDescent="0.2">
      <c r="C121" s="1"/>
      <c r="D121" s="1"/>
      <c r="E121" s="1"/>
      <c r="F121" s="1"/>
      <c r="G121" s="1"/>
      <c r="H121" s="1"/>
      <c r="I121" s="1"/>
      <c r="J121" s="1"/>
      <c r="K121" s="1"/>
      <c r="L121" s="1"/>
      <c r="M121" s="1"/>
      <c r="N121" s="1"/>
      <c r="O121" s="1"/>
      <c r="P121" s="1"/>
      <c r="Q121" s="1"/>
      <c r="R121" s="1"/>
      <c r="S121" s="1"/>
    </row>
    <row r="122" spans="3:19" x14ac:dyDescent="0.2">
      <c r="C122" s="1"/>
      <c r="D122" s="1"/>
      <c r="E122" s="1"/>
      <c r="F122" s="1"/>
      <c r="G122" s="1"/>
      <c r="H122" s="1"/>
      <c r="I122" s="1"/>
      <c r="J122" s="1"/>
      <c r="K122" s="1"/>
      <c r="L122" s="1"/>
      <c r="M122" s="1"/>
      <c r="N122" s="1"/>
      <c r="O122" s="1"/>
      <c r="P122" s="1"/>
      <c r="Q122" s="1"/>
      <c r="R122" s="1"/>
      <c r="S122" s="1"/>
    </row>
    <row r="123" spans="3:19" x14ac:dyDescent="0.2">
      <c r="C123" s="1"/>
      <c r="D123" s="1"/>
      <c r="E123" s="1"/>
      <c r="F123" s="1"/>
      <c r="G123" s="1"/>
      <c r="H123" s="1"/>
      <c r="I123" s="1"/>
      <c r="J123" s="1"/>
      <c r="K123" s="1"/>
      <c r="L123" s="1"/>
      <c r="M123" s="1"/>
      <c r="N123" s="1"/>
      <c r="O123" s="1"/>
      <c r="P123" s="1"/>
      <c r="Q123" s="1"/>
      <c r="R123" s="1"/>
      <c r="S123" s="1"/>
    </row>
    <row r="124" spans="3:19" x14ac:dyDescent="0.2">
      <c r="C124" s="1"/>
      <c r="D124" s="1"/>
      <c r="E124" s="1"/>
      <c r="F124" s="1"/>
      <c r="G124" s="1"/>
      <c r="H124" s="1"/>
      <c r="I124" s="1"/>
      <c r="J124" s="1"/>
      <c r="K124" s="1"/>
      <c r="L124" s="1"/>
      <c r="M124" s="1"/>
      <c r="N124" s="1"/>
      <c r="O124" s="1"/>
      <c r="P124" s="1"/>
      <c r="Q124" s="1"/>
      <c r="R124" s="1"/>
      <c r="S124" s="1"/>
    </row>
    <row r="125" spans="3:19" x14ac:dyDescent="0.2">
      <c r="C125" s="1"/>
      <c r="D125" s="1"/>
      <c r="E125" s="1"/>
      <c r="F125" s="1"/>
      <c r="G125" s="1"/>
      <c r="H125" s="1"/>
      <c r="I125" s="1"/>
      <c r="J125" s="1"/>
      <c r="K125" s="1"/>
      <c r="L125" s="1"/>
      <c r="M125" s="1"/>
      <c r="N125" s="1"/>
      <c r="O125" s="1"/>
      <c r="P125" s="1"/>
      <c r="Q125" s="1"/>
      <c r="R125" s="1"/>
      <c r="S125" s="1"/>
    </row>
    <row r="126" spans="3:19" x14ac:dyDescent="0.2">
      <c r="C126" s="1"/>
      <c r="D126" s="1"/>
      <c r="E126" s="1"/>
      <c r="F126" s="1"/>
      <c r="G126" s="1"/>
      <c r="H126" s="1"/>
      <c r="I126" s="1"/>
      <c r="J126" s="1"/>
      <c r="K126" s="1"/>
      <c r="L126" s="1"/>
      <c r="M126" s="1"/>
      <c r="N126" s="1"/>
      <c r="O126" s="1"/>
      <c r="P126" s="1"/>
      <c r="Q126" s="1"/>
      <c r="R126" s="1"/>
      <c r="S126" s="1"/>
    </row>
    <row r="127" spans="3:19" x14ac:dyDescent="0.2">
      <c r="C127" s="1"/>
      <c r="D127" s="1"/>
      <c r="E127" s="1"/>
      <c r="F127" s="1"/>
      <c r="G127" s="1"/>
      <c r="H127" s="1"/>
      <c r="I127" s="1"/>
      <c r="J127" s="1"/>
      <c r="K127" s="1"/>
      <c r="L127" s="1"/>
      <c r="M127" s="1"/>
      <c r="N127" s="1"/>
      <c r="O127" s="1"/>
      <c r="P127" s="1"/>
      <c r="Q127" s="1"/>
      <c r="R127" s="1"/>
      <c r="S127" s="1"/>
    </row>
    <row r="128" spans="3:19" x14ac:dyDescent="0.2">
      <c r="C128" s="1"/>
      <c r="D128" s="1"/>
      <c r="E128" s="1"/>
      <c r="F128" s="1"/>
      <c r="G128" s="1"/>
      <c r="H128" s="1"/>
      <c r="I128" s="1"/>
      <c r="J128" s="1"/>
      <c r="K128" s="1"/>
      <c r="L128" s="1"/>
      <c r="M128" s="1"/>
      <c r="N128" s="1"/>
      <c r="O128" s="1"/>
      <c r="P128" s="1"/>
      <c r="Q128" s="1"/>
      <c r="R128" s="1"/>
      <c r="S128" s="1"/>
    </row>
    <row r="129" spans="3:19" x14ac:dyDescent="0.2">
      <c r="C129" s="1"/>
      <c r="D129" s="1"/>
      <c r="E129" s="1"/>
      <c r="F129" s="1"/>
      <c r="G129" s="1"/>
      <c r="H129" s="1"/>
      <c r="I129" s="1"/>
      <c r="J129" s="1"/>
      <c r="K129" s="1"/>
      <c r="L129" s="1"/>
      <c r="M129" s="1"/>
      <c r="N129" s="1"/>
      <c r="O129" s="1"/>
      <c r="P129" s="1"/>
      <c r="Q129" s="1"/>
      <c r="R129" s="1"/>
      <c r="S129" s="1"/>
    </row>
    <row r="130" spans="3:19" x14ac:dyDescent="0.2">
      <c r="C130" s="1"/>
      <c r="D130" s="1"/>
      <c r="E130" s="1"/>
      <c r="F130" s="1"/>
      <c r="G130" s="1"/>
      <c r="H130" s="1"/>
      <c r="I130" s="1"/>
      <c r="J130" s="1"/>
      <c r="K130" s="1"/>
      <c r="L130" s="1"/>
      <c r="M130" s="1"/>
      <c r="N130" s="1"/>
      <c r="O130" s="1"/>
      <c r="P130" s="1"/>
      <c r="Q130" s="1"/>
      <c r="R130" s="1"/>
      <c r="S130" s="1"/>
    </row>
    <row r="131" spans="3:19" x14ac:dyDescent="0.2">
      <c r="C131" s="1"/>
      <c r="D131" s="1"/>
      <c r="E131" s="1"/>
      <c r="F131" s="1"/>
      <c r="G131" s="1"/>
      <c r="H131" s="1"/>
      <c r="I131" s="1"/>
      <c r="J131" s="1"/>
      <c r="K131" s="1"/>
      <c r="L131" s="1"/>
      <c r="M131" s="1"/>
      <c r="N131" s="1"/>
      <c r="O131" s="1"/>
      <c r="P131" s="1"/>
      <c r="Q131" s="1"/>
      <c r="R131" s="1"/>
      <c r="S131" s="1"/>
    </row>
    <row r="132" spans="3:19" x14ac:dyDescent="0.2">
      <c r="C132" s="1"/>
      <c r="D132" s="1"/>
      <c r="E132" s="1"/>
      <c r="F132" s="1"/>
      <c r="G132" s="1"/>
      <c r="H132" s="1"/>
      <c r="I132" s="1"/>
      <c r="J132" s="1"/>
      <c r="K132" s="1"/>
      <c r="L132" s="1"/>
      <c r="M132" s="1"/>
      <c r="N132" s="1"/>
      <c r="O132" s="1"/>
      <c r="P132" s="1"/>
      <c r="Q132" s="1"/>
      <c r="R132" s="1"/>
      <c r="S132" s="1"/>
    </row>
    <row r="133" spans="3:19" x14ac:dyDescent="0.2">
      <c r="C133" s="1"/>
      <c r="D133" s="1"/>
      <c r="E133" s="1"/>
      <c r="F133" s="1"/>
      <c r="G133" s="1"/>
      <c r="H133" s="1"/>
      <c r="I133" s="1"/>
      <c r="J133" s="1"/>
      <c r="K133" s="1"/>
      <c r="L133" s="1"/>
      <c r="M133" s="1"/>
      <c r="N133" s="1"/>
      <c r="O133" s="1"/>
      <c r="P133" s="1"/>
      <c r="Q133" s="1"/>
      <c r="R133" s="1"/>
      <c r="S133" s="1"/>
    </row>
    <row r="134" spans="3:19" x14ac:dyDescent="0.2">
      <c r="C134" s="1"/>
      <c r="D134" s="1"/>
      <c r="E134" s="1"/>
      <c r="F134" s="1"/>
      <c r="G134" s="1"/>
      <c r="H134" s="1"/>
      <c r="I134" s="1"/>
      <c r="J134" s="1"/>
      <c r="K134" s="1"/>
      <c r="L134" s="1"/>
      <c r="M134" s="1"/>
      <c r="N134" s="1"/>
      <c r="O134" s="1"/>
      <c r="P134" s="1"/>
      <c r="Q134" s="1"/>
      <c r="R134" s="1"/>
      <c r="S134" s="1"/>
    </row>
    <row r="135" spans="3:19" x14ac:dyDescent="0.2">
      <c r="C135" s="1"/>
      <c r="D135" s="1"/>
      <c r="E135" s="1"/>
      <c r="F135" s="1"/>
      <c r="G135" s="1"/>
      <c r="H135" s="1"/>
      <c r="I135" s="1"/>
      <c r="J135" s="1"/>
      <c r="K135" s="1"/>
      <c r="L135" s="1"/>
      <c r="M135" s="1"/>
      <c r="N135" s="1"/>
      <c r="O135" s="1"/>
      <c r="P135" s="1"/>
      <c r="Q135" s="1"/>
      <c r="R135" s="1"/>
      <c r="S135" s="1"/>
    </row>
    <row r="136" spans="3:19" x14ac:dyDescent="0.2">
      <c r="C136" s="1"/>
      <c r="D136" s="1"/>
      <c r="E136" s="1"/>
      <c r="F136" s="1"/>
      <c r="G136" s="1"/>
      <c r="H136" s="1"/>
      <c r="I136" s="1"/>
      <c r="J136" s="1"/>
      <c r="K136" s="1"/>
      <c r="L136" s="1"/>
      <c r="M136" s="1"/>
      <c r="N136" s="1"/>
      <c r="O136" s="1"/>
      <c r="P136" s="1"/>
      <c r="Q136" s="1"/>
      <c r="R136" s="1"/>
      <c r="S136" s="1"/>
    </row>
    <row r="137" spans="3:19" x14ac:dyDescent="0.2">
      <c r="C137" s="1"/>
      <c r="D137" s="1"/>
      <c r="E137" s="1"/>
      <c r="F137" s="1"/>
      <c r="G137" s="1"/>
      <c r="H137" s="1"/>
      <c r="I137" s="1"/>
      <c r="J137" s="1"/>
      <c r="K137" s="1"/>
      <c r="L137" s="1"/>
      <c r="M137" s="1"/>
      <c r="N137" s="1"/>
      <c r="O137" s="1"/>
      <c r="P137" s="1"/>
      <c r="Q137" s="1"/>
      <c r="R137" s="1"/>
      <c r="S137" s="1"/>
    </row>
    <row r="138" spans="3:19" x14ac:dyDescent="0.2">
      <c r="C138" s="1"/>
      <c r="D138" s="1"/>
      <c r="E138" s="1"/>
      <c r="F138" s="1"/>
      <c r="G138" s="1"/>
      <c r="H138" s="1"/>
      <c r="I138" s="1"/>
      <c r="J138" s="1"/>
      <c r="K138" s="1"/>
      <c r="L138" s="1"/>
      <c r="M138" s="1"/>
      <c r="N138" s="1"/>
      <c r="O138" s="1"/>
      <c r="P138" s="1"/>
      <c r="Q138" s="1"/>
      <c r="R138" s="1"/>
      <c r="S138" s="1"/>
    </row>
    <row r="139" spans="3:19" x14ac:dyDescent="0.2">
      <c r="C139" s="1"/>
      <c r="D139" s="1"/>
      <c r="E139" s="1"/>
      <c r="F139" s="1"/>
      <c r="G139" s="1"/>
      <c r="H139" s="1"/>
      <c r="I139" s="1"/>
      <c r="J139" s="1"/>
      <c r="K139" s="1"/>
      <c r="L139" s="1"/>
      <c r="M139" s="1"/>
      <c r="N139" s="1"/>
      <c r="O139" s="1"/>
      <c r="P139" s="1"/>
      <c r="Q139" s="1"/>
      <c r="R139" s="1"/>
      <c r="S139" s="1"/>
    </row>
    <row r="140" spans="3:19" x14ac:dyDescent="0.2">
      <c r="C140" s="1"/>
      <c r="D140" s="1"/>
      <c r="E140" s="1"/>
      <c r="F140" s="1"/>
      <c r="G140" s="1"/>
      <c r="H140" s="1"/>
      <c r="I140" s="1"/>
      <c r="J140" s="1"/>
      <c r="K140" s="1"/>
      <c r="L140" s="1"/>
      <c r="M140" s="1"/>
      <c r="N140" s="1"/>
      <c r="O140" s="1"/>
      <c r="P140" s="1"/>
      <c r="Q140" s="1"/>
      <c r="R140" s="1"/>
      <c r="S140" s="1"/>
    </row>
    <row r="141" spans="3:19" x14ac:dyDescent="0.2">
      <c r="C141" s="1"/>
      <c r="D141" s="1"/>
      <c r="E141" s="1"/>
      <c r="F141" s="1"/>
      <c r="G141" s="1"/>
      <c r="H141" s="1"/>
      <c r="I141" s="1"/>
      <c r="J141" s="1"/>
      <c r="K141" s="1"/>
      <c r="L141" s="1"/>
      <c r="M141" s="1"/>
      <c r="N141" s="1"/>
      <c r="O141" s="1"/>
      <c r="P141" s="1"/>
      <c r="Q141" s="1"/>
      <c r="R141" s="1"/>
      <c r="S141" s="1"/>
    </row>
  </sheetData>
  <mergeCells count="2">
    <mergeCell ref="H84:J84"/>
    <mergeCell ref="D107:G107"/>
  </mergeCells>
  <conditionalFormatting sqref="O6">
    <cfRule type="cellIs" dxfId="6" priority="2" operator="lessThan">
      <formula>0</formula>
    </cfRule>
  </conditionalFormatting>
  <conditionalFormatting sqref="I5:I40 D5:G40">
    <cfRule type="cellIs" dxfId="5" priority="7" operator="lessThan">
      <formula>0</formula>
    </cfRule>
  </conditionalFormatting>
  <conditionalFormatting sqref="K46:K80">
    <cfRule type="cellIs" dxfId="4" priority="6" operator="lessThan">
      <formula>0</formula>
    </cfRule>
  </conditionalFormatting>
  <conditionalFormatting sqref="C6:C40">
    <cfRule type="cellIs" dxfId="3" priority="5" operator="equal">
      <formula>$K$11</formula>
    </cfRule>
  </conditionalFormatting>
  <conditionalFormatting sqref="C46:C80">
    <cfRule type="cellIs" dxfId="2" priority="4" operator="equal">
      <formula>$K$11</formula>
    </cfRule>
  </conditionalFormatting>
  <conditionalFormatting sqref="O9">
    <cfRule type="cellIs" dxfId="1" priority="3" operator="lessThan">
      <formula>0</formula>
    </cfRule>
  </conditionalFormatting>
  <conditionalFormatting sqref="D86:D106">
    <cfRule type="cellIs" dxfId="0" priority="1" operator="equal">
      <formula>$I$67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showRowColHeaders="0" workbookViewId="0"/>
  </sheetViews>
  <sheetFormatPr defaultRowHeight="12.75" x14ac:dyDescent="0.2"/>
  <cols>
    <col min="2" max="2" width="26.28515625" customWidth="1"/>
    <col min="3" max="3" width="2.85546875" customWidth="1"/>
    <col min="4" max="4" width="66.7109375" customWidth="1"/>
  </cols>
  <sheetData>
    <row r="1" spans="1:9" x14ac:dyDescent="0.2">
      <c r="A1" s="169"/>
    </row>
    <row r="2" spans="1:9" x14ac:dyDescent="0.2">
      <c r="B2" s="192"/>
      <c r="C2" s="192"/>
      <c r="D2" s="192"/>
    </row>
    <row r="8" spans="1:9" ht="21" x14ac:dyDescent="0.35">
      <c r="B8" s="218"/>
      <c r="C8" s="218"/>
      <c r="D8" s="218"/>
      <c r="E8" s="179"/>
      <c r="F8" s="179"/>
      <c r="G8" s="179"/>
      <c r="H8" s="179"/>
      <c r="I8" s="179"/>
    </row>
    <row r="9" spans="1:9" ht="13.5" thickBot="1" x14ac:dyDescent="0.25"/>
    <row r="10" spans="1:9" ht="16.5" thickBot="1" x14ac:dyDescent="0.25">
      <c r="B10" s="223" t="s">
        <v>208</v>
      </c>
      <c r="C10" s="223"/>
      <c r="D10" s="223"/>
    </row>
    <row r="11" spans="1:9" ht="13.5" thickBot="1" x14ac:dyDescent="0.25">
      <c r="B11" s="180" t="s">
        <v>141</v>
      </c>
      <c r="C11" s="221" t="s">
        <v>142</v>
      </c>
      <c r="D11" s="221"/>
    </row>
    <row r="12" spans="1:9" ht="13.5" thickBot="1" x14ac:dyDescent="0.25">
      <c r="B12" s="181" t="s">
        <v>143</v>
      </c>
      <c r="C12" s="217" t="s">
        <v>162</v>
      </c>
      <c r="D12" s="217"/>
    </row>
    <row r="13" spans="1:9" ht="13.5" thickBot="1" x14ac:dyDescent="0.25">
      <c r="B13" s="180" t="s">
        <v>144</v>
      </c>
      <c r="C13" s="221" t="s">
        <v>159</v>
      </c>
      <c r="D13" s="221"/>
    </row>
    <row r="14" spans="1:9" ht="13.5" thickBot="1" x14ac:dyDescent="0.25">
      <c r="B14" s="181" t="s">
        <v>145</v>
      </c>
      <c r="C14" s="217" t="s">
        <v>160</v>
      </c>
      <c r="D14" s="217"/>
    </row>
    <row r="15" spans="1:9" ht="13.5" thickBot="1" x14ac:dyDescent="0.25">
      <c r="B15" s="180" t="s">
        <v>146</v>
      </c>
      <c r="C15" s="219">
        <v>42459</v>
      </c>
      <c r="D15" s="219"/>
    </row>
    <row r="16" spans="1:9" ht="13.5" thickBot="1" x14ac:dyDescent="0.25">
      <c r="B16" s="181" t="s">
        <v>147</v>
      </c>
      <c r="C16" s="220">
        <v>42520</v>
      </c>
      <c r="D16" s="220"/>
    </row>
    <row r="17" spans="2:4" ht="13.5" thickBot="1" x14ac:dyDescent="0.25">
      <c r="B17" s="180" t="s">
        <v>148</v>
      </c>
      <c r="C17" s="221" t="s">
        <v>202</v>
      </c>
      <c r="D17" s="221"/>
    </row>
    <row r="18" spans="2:4" ht="28.5" customHeight="1" thickBot="1" x14ac:dyDescent="0.25">
      <c r="B18" s="181" t="s">
        <v>149</v>
      </c>
      <c r="C18" s="217" t="s">
        <v>210</v>
      </c>
      <c r="D18" s="217"/>
    </row>
    <row r="19" spans="2:4" ht="13.5" thickBot="1" x14ac:dyDescent="0.25">
      <c r="B19" s="180" t="s">
        <v>150</v>
      </c>
      <c r="C19" s="221" t="s">
        <v>161</v>
      </c>
      <c r="D19" s="221"/>
    </row>
    <row r="20" spans="2:4" ht="13.5" customHeight="1" thickBot="1" x14ac:dyDescent="0.25">
      <c r="B20" s="181" t="s">
        <v>151</v>
      </c>
      <c r="C20" s="217" t="s">
        <v>199</v>
      </c>
      <c r="D20" s="222"/>
    </row>
    <row r="21" spans="2:4" ht="13.5" thickBot="1" x14ac:dyDescent="0.25">
      <c r="B21" s="180" t="s">
        <v>152</v>
      </c>
      <c r="C21" s="182" t="s">
        <v>153</v>
      </c>
      <c r="D21" s="180" t="s">
        <v>154</v>
      </c>
    </row>
    <row r="22" spans="2:4" ht="13.5" thickBot="1" x14ac:dyDescent="0.25">
      <c r="B22" s="183"/>
      <c r="C22" s="184"/>
      <c r="D22" s="180" t="s">
        <v>155</v>
      </c>
    </row>
    <row r="23" spans="2:4" ht="13.5" thickBot="1" x14ac:dyDescent="0.25">
      <c r="B23" s="183"/>
      <c r="C23" s="184"/>
      <c r="D23" s="180" t="s">
        <v>156</v>
      </c>
    </row>
    <row r="24" spans="2:4" ht="13.5" thickBot="1" x14ac:dyDescent="0.25">
      <c r="B24" s="183"/>
      <c r="C24" s="184"/>
      <c r="D24" s="180" t="s">
        <v>157</v>
      </c>
    </row>
    <row r="25" spans="2:4" ht="13.5" thickBot="1" x14ac:dyDescent="0.25">
      <c r="B25" s="181" t="s">
        <v>158</v>
      </c>
      <c r="C25" s="217" t="s">
        <v>203</v>
      </c>
      <c r="D25" s="217"/>
    </row>
    <row r="27" spans="2:4" ht="13.5" thickBot="1" x14ac:dyDescent="0.25"/>
    <row r="28" spans="2:4" ht="16.5" thickBot="1" x14ac:dyDescent="0.25">
      <c r="B28" s="214" t="s">
        <v>163</v>
      </c>
      <c r="C28" s="214"/>
      <c r="D28" s="214"/>
    </row>
    <row r="29" spans="2:4" ht="15.75" thickBot="1" x14ac:dyDescent="0.25">
      <c r="B29" s="197" t="s">
        <v>164</v>
      </c>
      <c r="C29" s="215" t="s">
        <v>124</v>
      </c>
      <c r="D29" s="215"/>
    </row>
    <row r="30" spans="2:4" ht="28.5" customHeight="1" thickBot="1" x14ac:dyDescent="0.25">
      <c r="B30" s="198" t="s">
        <v>165</v>
      </c>
      <c r="C30" s="211" t="s">
        <v>166</v>
      </c>
      <c r="D30" s="211"/>
    </row>
    <row r="31" spans="2:4" ht="13.5" thickBot="1" x14ac:dyDescent="0.25">
      <c r="B31" s="197" t="s">
        <v>167</v>
      </c>
      <c r="C31" s="210" t="s">
        <v>168</v>
      </c>
      <c r="D31" s="210"/>
    </row>
    <row r="32" spans="2:4" ht="13.5" thickBot="1" x14ac:dyDescent="0.25">
      <c r="B32" s="198" t="s">
        <v>169</v>
      </c>
      <c r="C32" s="211" t="s">
        <v>170</v>
      </c>
      <c r="D32" s="211"/>
    </row>
    <row r="33" spans="2:4" ht="13.5" thickBot="1" x14ac:dyDescent="0.25">
      <c r="B33" s="197" t="s">
        <v>171</v>
      </c>
      <c r="C33" s="216" t="s">
        <v>172</v>
      </c>
      <c r="D33" s="216"/>
    </row>
    <row r="34" spans="2:4" ht="26.25" customHeight="1" thickBot="1" x14ac:dyDescent="0.25">
      <c r="B34" s="213" t="s">
        <v>173</v>
      </c>
      <c r="C34" s="211" t="s">
        <v>174</v>
      </c>
      <c r="D34" s="211"/>
    </row>
    <row r="35" spans="2:4" ht="13.5" thickBot="1" x14ac:dyDescent="0.25">
      <c r="B35" s="213"/>
      <c r="C35" s="211" t="s">
        <v>175</v>
      </c>
      <c r="D35" s="211"/>
    </row>
    <row r="36" spans="2:4" ht="13.5" thickBot="1" x14ac:dyDescent="0.25">
      <c r="B36" s="213"/>
      <c r="C36" s="211" t="s">
        <v>176</v>
      </c>
      <c r="D36" s="211"/>
    </row>
    <row r="37" spans="2:4" ht="13.5" thickBot="1" x14ac:dyDescent="0.25">
      <c r="B37" s="213"/>
      <c r="C37" s="211" t="s">
        <v>177</v>
      </c>
      <c r="D37" s="211"/>
    </row>
    <row r="38" spans="2:4" ht="13.5" thickBot="1" x14ac:dyDescent="0.25">
      <c r="B38" s="213"/>
      <c r="C38" s="211" t="s">
        <v>178</v>
      </c>
      <c r="D38" s="211"/>
    </row>
    <row r="39" spans="2:4" ht="13.5" thickBot="1" x14ac:dyDescent="0.25">
      <c r="B39" s="213"/>
      <c r="C39" s="211" t="s">
        <v>179</v>
      </c>
      <c r="D39" s="211"/>
    </row>
    <row r="40" spans="2:4" ht="13.5" thickBot="1" x14ac:dyDescent="0.25">
      <c r="B40" s="213"/>
      <c r="C40" s="211" t="s">
        <v>180</v>
      </c>
      <c r="D40" s="211"/>
    </row>
    <row r="41" spans="2:4" ht="13.5" thickBot="1" x14ac:dyDescent="0.25">
      <c r="B41" s="213"/>
      <c r="C41" s="211" t="s">
        <v>181</v>
      </c>
      <c r="D41" s="211"/>
    </row>
    <row r="42" spans="2:4" ht="13.5" thickBot="1" x14ac:dyDescent="0.25">
      <c r="B42" s="213"/>
      <c r="C42" s="211" t="s">
        <v>182</v>
      </c>
      <c r="D42" s="211"/>
    </row>
    <row r="43" spans="2:4" ht="13.5" thickBot="1" x14ac:dyDescent="0.25">
      <c r="B43" s="213"/>
      <c r="C43" s="211" t="s">
        <v>183</v>
      </c>
      <c r="D43" s="211"/>
    </row>
    <row r="44" spans="2:4" ht="13.5" thickBot="1" x14ac:dyDescent="0.25">
      <c r="B44" s="213"/>
      <c r="C44" s="211" t="s">
        <v>184</v>
      </c>
      <c r="D44" s="211"/>
    </row>
    <row r="45" spans="2:4" ht="13.5" thickBot="1" x14ac:dyDescent="0.25">
      <c r="B45" s="213"/>
      <c r="C45" s="211" t="s">
        <v>185</v>
      </c>
      <c r="D45" s="211"/>
    </row>
    <row r="46" spans="2:4" ht="27" customHeight="1" thickBot="1" x14ac:dyDescent="0.25">
      <c r="B46" s="213"/>
      <c r="C46" s="211" t="s">
        <v>186</v>
      </c>
      <c r="D46" s="211"/>
    </row>
    <row r="47" spans="2:4" ht="13.5" thickBot="1" x14ac:dyDescent="0.25">
      <c r="B47" s="197" t="s">
        <v>187</v>
      </c>
      <c r="C47" s="210" t="s">
        <v>188</v>
      </c>
      <c r="D47" s="210"/>
    </row>
    <row r="48" spans="2:4" ht="13.5" thickBot="1" x14ac:dyDescent="0.25">
      <c r="B48" s="198" t="s">
        <v>189</v>
      </c>
      <c r="C48" s="211" t="s">
        <v>190</v>
      </c>
      <c r="D48" s="211"/>
    </row>
    <row r="49" spans="2:4" ht="13.5" thickBot="1" x14ac:dyDescent="0.25">
      <c r="B49" s="197" t="s">
        <v>191</v>
      </c>
      <c r="C49" s="210" t="s">
        <v>200</v>
      </c>
      <c r="D49" s="210"/>
    </row>
    <row r="50" spans="2:4" ht="13.5" thickBot="1" x14ac:dyDescent="0.25">
      <c r="B50" s="198" t="s">
        <v>193</v>
      </c>
      <c r="C50" s="212" t="s">
        <v>194</v>
      </c>
      <c r="D50" s="212"/>
    </row>
  </sheetData>
  <sheetProtection password="CD21" sheet="1" objects="1" scenarios="1" selectLockedCells="1" selectUnlockedCells="1"/>
  <mergeCells count="37">
    <mergeCell ref="C25:D25"/>
    <mergeCell ref="B8:D8"/>
    <mergeCell ref="C15:D15"/>
    <mergeCell ref="C16:D16"/>
    <mergeCell ref="C17:D17"/>
    <mergeCell ref="C18:D18"/>
    <mergeCell ref="C19:D19"/>
    <mergeCell ref="C20:D20"/>
    <mergeCell ref="B10:D10"/>
    <mergeCell ref="C11:D11"/>
    <mergeCell ref="C12:D12"/>
    <mergeCell ref="C13:D13"/>
    <mergeCell ref="C14:D14"/>
    <mergeCell ref="B34:B46"/>
    <mergeCell ref="B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7:D47"/>
    <mergeCell ref="C48:D48"/>
    <mergeCell ref="C49:D49"/>
    <mergeCell ref="C50:D50"/>
    <mergeCell ref="C42:D42"/>
    <mergeCell ref="C43:D43"/>
    <mergeCell ref="C44:D44"/>
    <mergeCell ref="C45:D45"/>
    <mergeCell ref="C46:D46"/>
  </mergeCells>
  <hyperlinks>
    <hyperlink ref="C50" r:id="rId1"/>
    <hyperlink ref="C29"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showRowColHeaders="0" workbookViewId="0"/>
  </sheetViews>
  <sheetFormatPr defaultRowHeight="12.75" x14ac:dyDescent="0.2"/>
  <cols>
    <col min="2" max="2" width="26.28515625" customWidth="1"/>
    <col min="3" max="3" width="56.85546875" customWidth="1"/>
  </cols>
  <sheetData>
    <row r="1" spans="1:8" x14ac:dyDescent="0.2">
      <c r="A1" s="169"/>
    </row>
    <row r="2" spans="1:8" x14ac:dyDescent="0.2">
      <c r="B2" s="192"/>
      <c r="C2" s="192"/>
    </row>
    <row r="8" spans="1:8" ht="21" x14ac:dyDescent="0.35">
      <c r="B8" s="218" t="s">
        <v>123</v>
      </c>
      <c r="C8" s="218"/>
      <c r="D8" s="195"/>
      <c r="E8" s="179"/>
      <c r="F8" s="179"/>
      <c r="G8" s="179"/>
      <c r="H8" s="179"/>
    </row>
    <row r="9" spans="1:8" ht="13.5" thickBot="1" x14ac:dyDescent="0.25"/>
    <row r="10" spans="1:8" ht="16.5" thickBot="1" x14ac:dyDescent="0.25">
      <c r="B10" s="224" t="s">
        <v>163</v>
      </c>
      <c r="C10" s="225"/>
    </row>
    <row r="11" spans="1:8" ht="15.75" thickBot="1" x14ac:dyDescent="0.25">
      <c r="B11" s="177" t="s">
        <v>164</v>
      </c>
      <c r="C11" s="196" t="s">
        <v>124</v>
      </c>
    </row>
    <row r="12" spans="1:8" ht="26.25" thickBot="1" x14ac:dyDescent="0.25">
      <c r="B12" s="178" t="s">
        <v>165</v>
      </c>
      <c r="C12" s="186" t="s">
        <v>166</v>
      </c>
    </row>
    <row r="13" spans="1:8" ht="13.5" thickBot="1" x14ac:dyDescent="0.25">
      <c r="B13" s="177" t="s">
        <v>167</v>
      </c>
      <c r="C13" s="185" t="s">
        <v>168</v>
      </c>
    </row>
    <row r="14" spans="1:8" ht="13.5" thickBot="1" x14ac:dyDescent="0.25">
      <c r="B14" s="178" t="s">
        <v>169</v>
      </c>
      <c r="C14" s="186" t="s">
        <v>170</v>
      </c>
    </row>
    <row r="15" spans="1:8" ht="26.25" thickBot="1" x14ac:dyDescent="0.25">
      <c r="B15" s="177" t="s">
        <v>171</v>
      </c>
      <c r="C15" s="187" t="s">
        <v>172</v>
      </c>
    </row>
    <row r="16" spans="1:8" ht="25.5" x14ac:dyDescent="0.2">
      <c r="B16" s="226" t="s">
        <v>173</v>
      </c>
      <c r="C16" s="188" t="s">
        <v>174</v>
      </c>
    </row>
    <row r="17" spans="2:3" x14ac:dyDescent="0.2">
      <c r="B17" s="227"/>
      <c r="C17" s="188" t="s">
        <v>175</v>
      </c>
    </row>
    <row r="18" spans="2:3" x14ac:dyDescent="0.2">
      <c r="B18" s="227"/>
      <c r="C18" s="188" t="s">
        <v>176</v>
      </c>
    </row>
    <row r="19" spans="2:3" x14ac:dyDescent="0.2">
      <c r="B19" s="227"/>
      <c r="C19" s="188" t="s">
        <v>177</v>
      </c>
    </row>
    <row r="20" spans="2:3" x14ac:dyDescent="0.2">
      <c r="B20" s="227"/>
      <c r="C20" s="188" t="s">
        <v>178</v>
      </c>
    </row>
    <row r="21" spans="2:3" x14ac:dyDescent="0.2">
      <c r="B21" s="227"/>
      <c r="C21" s="188" t="s">
        <v>179</v>
      </c>
    </row>
    <row r="22" spans="2:3" x14ac:dyDescent="0.2">
      <c r="B22" s="227"/>
      <c r="C22" s="188" t="s">
        <v>180</v>
      </c>
    </row>
    <row r="23" spans="2:3" x14ac:dyDescent="0.2">
      <c r="B23" s="227"/>
      <c r="C23" s="188" t="s">
        <v>181</v>
      </c>
    </row>
    <row r="24" spans="2:3" x14ac:dyDescent="0.2">
      <c r="B24" s="227"/>
      <c r="C24" s="188" t="s">
        <v>182</v>
      </c>
    </row>
    <row r="25" spans="2:3" x14ac:dyDescent="0.2">
      <c r="B25" s="227"/>
      <c r="C25" s="188" t="s">
        <v>183</v>
      </c>
    </row>
    <row r="26" spans="2:3" x14ac:dyDescent="0.2">
      <c r="B26" s="227"/>
      <c r="C26" s="188" t="s">
        <v>184</v>
      </c>
    </row>
    <row r="27" spans="2:3" x14ac:dyDescent="0.2">
      <c r="B27" s="227"/>
      <c r="C27" s="188" t="s">
        <v>185</v>
      </c>
    </row>
    <row r="28" spans="2:3" ht="26.25" thickBot="1" x14ac:dyDescent="0.25">
      <c r="B28" s="228"/>
      <c r="C28" s="189" t="s">
        <v>186</v>
      </c>
    </row>
    <row r="29" spans="2:3" ht="13.5" thickBot="1" x14ac:dyDescent="0.25">
      <c r="B29" s="177" t="s">
        <v>187</v>
      </c>
      <c r="C29" s="185" t="s">
        <v>188</v>
      </c>
    </row>
    <row r="30" spans="2:3" ht="13.5" thickBot="1" x14ac:dyDescent="0.25">
      <c r="B30" s="178" t="s">
        <v>189</v>
      </c>
      <c r="C30" s="186" t="s">
        <v>190</v>
      </c>
    </row>
    <row r="31" spans="2:3" ht="13.5" thickBot="1" x14ac:dyDescent="0.25">
      <c r="B31" s="177" t="s">
        <v>191</v>
      </c>
      <c r="C31" s="185" t="s">
        <v>192</v>
      </c>
    </row>
    <row r="32" spans="2:3" ht="13.5" thickBot="1" x14ac:dyDescent="0.25">
      <c r="B32" s="178" t="s">
        <v>193</v>
      </c>
      <c r="C32" s="190" t="s">
        <v>194</v>
      </c>
    </row>
  </sheetData>
  <sheetProtection selectLockedCells="1" selectUnlockedCells="1"/>
  <mergeCells count="3">
    <mergeCell ref="B10:C10"/>
    <mergeCell ref="B16:B28"/>
    <mergeCell ref="B8:C8"/>
  </mergeCells>
  <hyperlinks>
    <hyperlink ref="C32" r:id="rId1"/>
    <hyperlink ref="C11" r:id="rId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showRowColHeaders="0" workbookViewId="0"/>
  </sheetViews>
  <sheetFormatPr defaultRowHeight="12.75" x14ac:dyDescent="0.2"/>
  <cols>
    <col min="9" max="9" width="11.85546875" customWidth="1"/>
  </cols>
  <sheetData>
    <row r="1" spans="1:9" x14ac:dyDescent="0.2">
      <c r="A1" s="169"/>
    </row>
    <row r="2" spans="1:9" x14ac:dyDescent="0.2">
      <c r="B2" s="192"/>
      <c r="C2" s="192"/>
      <c r="D2" s="192"/>
      <c r="E2" s="192"/>
      <c r="F2" s="192"/>
      <c r="G2" s="192"/>
      <c r="H2" s="192"/>
      <c r="I2" s="192"/>
    </row>
    <row r="8" spans="1:9" ht="21" x14ac:dyDescent="0.35">
      <c r="B8" s="218"/>
      <c r="C8" s="218"/>
      <c r="D8" s="218"/>
      <c r="E8" s="218"/>
      <c r="F8" s="218"/>
      <c r="G8" s="218"/>
      <c r="H8" s="218"/>
      <c r="I8" s="218"/>
    </row>
    <row r="9" spans="1:9" ht="15.75" customHeight="1" x14ac:dyDescent="0.35">
      <c r="B9" s="176"/>
      <c r="C9" s="176"/>
      <c r="D9" s="176"/>
      <c r="E9" s="176"/>
      <c r="F9" s="176"/>
      <c r="G9" s="176"/>
      <c r="H9" s="176"/>
      <c r="I9" s="176"/>
    </row>
  </sheetData>
  <sheetProtection password="CD21" sheet="1" objects="1" scenarios="1" selectLockedCells="1" selectUnlockedCells="1"/>
  <mergeCells count="1">
    <mergeCell ref="B8:I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showRowColHeaders="0" workbookViewId="0"/>
  </sheetViews>
  <sheetFormatPr defaultRowHeight="12.75" x14ac:dyDescent="0.2"/>
  <cols>
    <col min="2" max="2" width="34.28515625" customWidth="1"/>
    <col min="3" max="3" width="44.140625" customWidth="1"/>
  </cols>
  <sheetData>
    <row r="1" spans="1:8" x14ac:dyDescent="0.2">
      <c r="A1" s="169"/>
    </row>
    <row r="2" spans="1:8" x14ac:dyDescent="0.2">
      <c r="B2" s="192"/>
      <c r="C2" s="192"/>
    </row>
    <row r="8" spans="1:8" ht="21" x14ac:dyDescent="0.35">
      <c r="B8" s="218"/>
      <c r="C8" s="218"/>
      <c r="D8" s="179"/>
      <c r="E8" s="179"/>
      <c r="F8" s="179"/>
      <c r="G8" s="179"/>
      <c r="H8" s="179"/>
    </row>
    <row r="12" spans="1:8" ht="21" x14ac:dyDescent="0.35">
      <c r="B12" s="229" t="s">
        <v>198</v>
      </c>
      <c r="C12" s="229"/>
    </row>
    <row r="13" spans="1:8" ht="15.75" x14ac:dyDescent="0.2">
      <c r="B13" s="204" t="s">
        <v>197</v>
      </c>
      <c r="C13" s="205"/>
    </row>
    <row r="14" spans="1:8" ht="15.75" x14ac:dyDescent="0.2">
      <c r="B14" s="204" t="s">
        <v>209</v>
      </c>
      <c r="C14" s="205"/>
    </row>
    <row r="15" spans="1:8" ht="15.75" x14ac:dyDescent="0.2">
      <c r="B15" s="204" t="s">
        <v>204</v>
      </c>
      <c r="C15" s="205"/>
    </row>
    <row r="16" spans="1:8" ht="15.75" x14ac:dyDescent="0.2">
      <c r="B16" s="204" t="s">
        <v>196</v>
      </c>
      <c r="C16" s="205"/>
    </row>
    <row r="17" spans="2:3" ht="15.75" x14ac:dyDescent="0.2">
      <c r="B17" s="204" t="s">
        <v>125</v>
      </c>
      <c r="C17" s="205"/>
    </row>
    <row r="18" spans="2:3" ht="15.75" x14ac:dyDescent="0.2">
      <c r="B18" s="206" t="s">
        <v>126</v>
      </c>
      <c r="C18" s="205"/>
    </row>
    <row r="19" spans="2:3" ht="15.75" x14ac:dyDescent="0.2">
      <c r="B19" s="204" t="s">
        <v>127</v>
      </c>
      <c r="C19" s="205"/>
    </row>
    <row r="20" spans="2:3" ht="15.75" x14ac:dyDescent="0.2">
      <c r="B20" s="204" t="s">
        <v>128</v>
      </c>
      <c r="C20" s="205"/>
    </row>
    <row r="21" spans="2:3" ht="15.75" x14ac:dyDescent="0.2">
      <c r="B21" s="204" t="s">
        <v>206</v>
      </c>
      <c r="C21" s="205"/>
    </row>
    <row r="22" spans="2:3" ht="15.75" x14ac:dyDescent="0.2">
      <c r="B22" s="204" t="s">
        <v>207</v>
      </c>
      <c r="C22" s="205"/>
    </row>
  </sheetData>
  <sheetProtection password="CD21" sheet="1" objects="1" scenarios="1"/>
  <mergeCells count="2">
    <mergeCell ref="B8:C8"/>
    <mergeCell ref="B12:C12"/>
  </mergeCells>
  <hyperlinks>
    <hyperlink ref="B15" location="'Statement of originality'!A1" display="Statement of originality"/>
    <hyperlink ref="B18" location="ACTION!A1" display="ACTION"/>
    <hyperlink ref="B14" location="'Summary sheet'!A1" display="Summary sheet"/>
    <hyperlink ref="B16" location="'CERtuS in brief'!A1" display="CERtuS in brief"/>
    <hyperlink ref="B17" location="About!A1" display="About"/>
    <hyperlink ref="B19" location="Help!A1" display="Help"/>
    <hyperlink ref="B20" location="Example!A1" display="Example"/>
    <hyperlink ref="B21" location="Acknowledgements!A1" display="Acknowledgements"/>
    <hyperlink ref="B22" location="'CERtuS partners'!A1" display="CERtuS partners"/>
    <hyperlink ref="B13" location="Cover!A1" display="Cover pag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showGridLines="0" showRowColHeaders="0" workbookViewId="0"/>
  </sheetViews>
  <sheetFormatPr defaultRowHeight="12.75" x14ac:dyDescent="0.2"/>
  <cols>
    <col min="6" max="6" width="10.28515625" customWidth="1"/>
    <col min="10" max="10" width="12.42578125" customWidth="1"/>
  </cols>
  <sheetData>
    <row r="1" spans="1:16" ht="14.25" customHeight="1" x14ac:dyDescent="0.2"/>
    <row r="2" spans="1:16" ht="14.25" customHeight="1" x14ac:dyDescent="0.2"/>
    <row r="3" spans="1:16" ht="14.25" customHeight="1" x14ac:dyDescent="0.2"/>
    <row r="4" spans="1:16" ht="14.25" customHeight="1" x14ac:dyDescent="0.2">
      <c r="G4" s="173" t="s">
        <v>123</v>
      </c>
      <c r="K4" s="172"/>
      <c r="L4" s="172"/>
    </row>
    <row r="5" spans="1:16" x14ac:dyDescent="0.2">
      <c r="A5" s="174"/>
      <c r="B5" s="174"/>
      <c r="C5" s="174"/>
      <c r="D5" s="174"/>
      <c r="E5" s="174"/>
      <c r="F5" s="174"/>
      <c r="G5" s="174"/>
      <c r="H5" s="174"/>
      <c r="I5" s="174"/>
      <c r="J5" s="174"/>
    </row>
    <row r="6" spans="1:16" x14ac:dyDescent="0.2">
      <c r="J6" s="172"/>
      <c r="K6" s="172"/>
      <c r="L6" s="172"/>
      <c r="M6" s="172"/>
      <c r="N6" s="172"/>
      <c r="O6" s="172"/>
      <c r="P6" s="172"/>
    </row>
  </sheetData>
  <sheetProtection password="CD21" sheet="1" objects="1" scenarios="1" selectLockedCells="1" selectUnlockedCell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showGridLines="0" showRowColHeaders="0" zoomScaleNormal="100" workbookViewId="0"/>
  </sheetViews>
  <sheetFormatPr defaultRowHeight="12.75" x14ac:dyDescent="0.2"/>
  <cols>
    <col min="8" max="8" width="9.5703125" customWidth="1"/>
    <col min="9" max="9" width="11" customWidth="1"/>
    <col min="10" max="10" width="10.7109375" customWidth="1"/>
  </cols>
  <sheetData>
    <row r="1" spans="1:10" ht="14.25" customHeight="1" x14ac:dyDescent="0.2"/>
    <row r="2" spans="1:10" ht="14.25" customHeight="1" x14ac:dyDescent="0.2"/>
    <row r="3" spans="1:10" ht="14.25" customHeight="1" x14ac:dyDescent="0.2"/>
    <row r="4" spans="1:10" ht="14.25" customHeight="1" x14ac:dyDescent="0.2">
      <c r="G4" s="173" t="s">
        <v>123</v>
      </c>
    </row>
    <row r="5" spans="1:10" x14ac:dyDescent="0.2">
      <c r="A5" s="174"/>
      <c r="B5" s="174"/>
      <c r="C5" s="174"/>
      <c r="D5" s="174"/>
      <c r="E5" s="174"/>
      <c r="F5" s="174"/>
      <c r="G5" s="174"/>
      <c r="H5" s="174"/>
      <c r="I5" s="174"/>
      <c r="J5" s="174"/>
    </row>
  </sheetData>
  <sheetProtection password="CD21" sheet="1" objects="1" scenarios="1" selectLockedCells="1" selectUn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G290"/>
  <sheetViews>
    <sheetView showGridLines="0" showRowColHeaders="0" zoomScale="85" zoomScaleNormal="85" zoomScaleSheetLayoutView="93" workbookViewId="0">
      <selection activeCell="J15" sqref="J15"/>
    </sheetView>
  </sheetViews>
  <sheetFormatPr defaultRowHeight="12.75" outlineLevelRow="1" x14ac:dyDescent="0.2"/>
  <cols>
    <col min="1" max="1" width="4" style="1" customWidth="1"/>
    <col min="2" max="2" width="11.5703125" style="1" customWidth="1"/>
    <col min="3" max="3" width="20" style="1" customWidth="1"/>
    <col min="4" max="4" width="10.5703125" style="1" hidden="1" customWidth="1"/>
    <col min="5" max="5" width="15.28515625" style="1" customWidth="1"/>
    <col min="6" max="6" width="14.28515625" style="1" customWidth="1"/>
    <col min="7" max="7" width="12.7109375" style="1" customWidth="1"/>
    <col min="8" max="8" width="12.5703125" style="1" customWidth="1"/>
    <col min="9" max="9" width="18.140625" style="1" customWidth="1"/>
    <col min="10" max="10" width="19.5703125" style="1" customWidth="1"/>
    <col min="11" max="11" width="13.28515625" style="1" customWidth="1"/>
    <col min="12" max="12" width="10" style="1" hidden="1" customWidth="1"/>
    <col min="13" max="13" width="9.42578125" style="1" hidden="1" customWidth="1"/>
    <col min="14" max="14" width="10.28515625" style="1" hidden="1" customWidth="1"/>
    <col min="15" max="15" width="9.28515625" style="1" customWidth="1"/>
    <col min="16" max="16" width="37.85546875" style="1" customWidth="1"/>
    <col min="17" max="17" width="43.140625" style="1" customWidth="1"/>
    <col min="18" max="18" width="9.140625" style="1"/>
    <col min="19" max="19" width="6.28515625" style="1" customWidth="1"/>
    <col min="20" max="20" width="56.7109375" style="1" customWidth="1"/>
    <col min="21" max="21" width="6.140625" style="1" customWidth="1"/>
    <col min="22" max="22" width="43.42578125" style="1" customWidth="1"/>
    <col min="23" max="23" width="16.7109375" style="1" customWidth="1"/>
    <col min="24" max="16384" width="9.140625" style="1"/>
  </cols>
  <sheetData>
    <row r="1" spans="2:33" ht="13.5" thickBot="1" x14ac:dyDescent="0.25"/>
    <row r="2" spans="2:33" ht="26.25" x14ac:dyDescent="0.4">
      <c r="B2" s="13"/>
      <c r="C2" s="248" t="s">
        <v>1</v>
      </c>
      <c r="D2" s="248"/>
      <c r="E2" s="248"/>
      <c r="F2" s="248"/>
      <c r="G2" s="248"/>
      <c r="H2" s="248"/>
      <c r="I2" s="248"/>
      <c r="J2" s="248"/>
      <c r="K2" s="248"/>
      <c r="L2" s="64"/>
      <c r="M2" s="64"/>
      <c r="N2" s="64"/>
      <c r="O2" s="32"/>
    </row>
    <row r="3" spans="2:33" s="8" customFormat="1" ht="12.75" customHeight="1" x14ac:dyDescent="0.2">
      <c r="B3" s="14"/>
      <c r="C3" s="249"/>
      <c r="D3" s="249"/>
      <c r="E3" s="249"/>
      <c r="F3" s="249"/>
      <c r="G3" s="249"/>
      <c r="H3" s="249"/>
      <c r="I3" s="249"/>
      <c r="J3" s="249"/>
      <c r="K3" s="249"/>
      <c r="L3" s="65"/>
      <c r="M3" s="65"/>
      <c r="N3" s="65"/>
      <c r="O3" s="15"/>
    </row>
    <row r="4" spans="2:33" s="8" customFormat="1" ht="18" customHeight="1" x14ac:dyDescent="0.3">
      <c r="B4" s="14"/>
      <c r="C4" s="250" t="s">
        <v>129</v>
      </c>
      <c r="D4" s="250"/>
      <c r="E4" s="250"/>
      <c r="F4" s="250"/>
      <c r="G4" s="250"/>
      <c r="H4" s="250"/>
      <c r="I4" s="250"/>
      <c r="J4" s="250"/>
      <c r="K4" s="250"/>
      <c r="L4" s="65"/>
      <c r="M4" s="65"/>
      <c r="N4" s="65"/>
      <c r="O4" s="15"/>
    </row>
    <row r="5" spans="2:33" s="8" customFormat="1" ht="12.75" customHeight="1" x14ac:dyDescent="0.25">
      <c r="B5" s="14"/>
      <c r="C5" s="251"/>
      <c r="D5" s="251"/>
      <c r="E5" s="251"/>
      <c r="F5" s="251"/>
      <c r="G5" s="251"/>
      <c r="H5" s="251"/>
      <c r="I5" s="251"/>
      <c r="J5" s="251"/>
      <c r="K5" s="251"/>
      <c r="L5" s="65"/>
      <c r="M5" s="65"/>
      <c r="N5" s="65"/>
      <c r="O5" s="15"/>
    </row>
    <row r="6" spans="2:33" s="8" customFormat="1" ht="12.75" customHeight="1" x14ac:dyDescent="0.25">
      <c r="B6" s="14"/>
      <c r="C6" s="243" t="s">
        <v>9</v>
      </c>
      <c r="D6" s="243"/>
      <c r="E6" s="243"/>
      <c r="F6" s="243"/>
      <c r="G6" s="243"/>
      <c r="H6" s="243"/>
      <c r="I6" s="243"/>
      <c r="J6" s="243"/>
      <c r="K6" s="243"/>
      <c r="L6" s="65"/>
      <c r="M6" s="65"/>
      <c r="N6" s="65"/>
      <c r="O6" s="15"/>
    </row>
    <row r="7" spans="2:33" s="8" customFormat="1" ht="12.75" customHeight="1" x14ac:dyDescent="0.2">
      <c r="B7" s="14"/>
      <c r="C7" s="234" t="s">
        <v>2</v>
      </c>
      <c r="D7" s="234"/>
      <c r="E7" s="234"/>
      <c r="F7" s="234"/>
      <c r="G7" s="234"/>
      <c r="H7" s="234"/>
      <c r="I7" s="234"/>
      <c r="J7" s="246" t="s">
        <v>138</v>
      </c>
      <c r="K7" s="247"/>
      <c r="L7" s="63"/>
      <c r="M7" s="65"/>
      <c r="N7" s="65"/>
      <c r="O7" s="15"/>
    </row>
    <row r="8" spans="2:33" s="8" customFormat="1" ht="12.75" customHeight="1" x14ac:dyDescent="0.2">
      <c r="B8" s="14"/>
      <c r="C8" s="231" t="s">
        <v>130</v>
      </c>
      <c r="D8" s="232"/>
      <c r="E8" s="232"/>
      <c r="F8" s="232"/>
      <c r="G8" s="232"/>
      <c r="H8" s="232"/>
      <c r="I8" s="233"/>
      <c r="J8" s="246" t="s">
        <v>138</v>
      </c>
      <c r="K8" s="247"/>
      <c r="L8" s="65"/>
      <c r="M8" s="65"/>
      <c r="N8" s="65"/>
      <c r="O8" s="15"/>
    </row>
    <row r="9" spans="2:33" s="8" customFormat="1" ht="12.75" customHeight="1" x14ac:dyDescent="0.2">
      <c r="B9" s="14"/>
      <c r="C9" s="231" t="s">
        <v>131</v>
      </c>
      <c r="D9" s="232"/>
      <c r="E9" s="232"/>
      <c r="F9" s="232"/>
      <c r="G9" s="232"/>
      <c r="H9" s="232"/>
      <c r="I9" s="233"/>
      <c r="J9" s="246"/>
      <c r="K9" s="247"/>
      <c r="L9" s="65"/>
      <c r="M9" s="65"/>
      <c r="N9" s="65"/>
      <c r="O9" s="15"/>
    </row>
    <row r="10" spans="2:33" s="8" customFormat="1" ht="12.75" customHeight="1" x14ac:dyDescent="0.2">
      <c r="B10" s="14"/>
      <c r="C10" s="121" t="s">
        <v>132</v>
      </c>
      <c r="D10" s="122"/>
      <c r="E10" s="122"/>
      <c r="F10" s="122"/>
      <c r="G10" s="122"/>
      <c r="H10" s="123"/>
      <c r="I10" s="65"/>
      <c r="J10" s="138">
        <v>43631</v>
      </c>
      <c r="K10" s="138">
        <v>44210</v>
      </c>
      <c r="L10" s="65"/>
      <c r="M10" s="65"/>
      <c r="N10" s="65"/>
      <c r="O10" s="15"/>
      <c r="S10" s="65"/>
      <c r="T10" s="65"/>
      <c r="U10" s="65"/>
      <c r="V10" s="65"/>
    </row>
    <row r="11" spans="2:33" s="8" customFormat="1" ht="12.75" customHeight="1" x14ac:dyDescent="0.2">
      <c r="B11" s="14"/>
      <c r="C11" s="231" t="s">
        <v>54</v>
      </c>
      <c r="D11" s="232"/>
      <c r="E11" s="232"/>
      <c r="F11" s="232"/>
      <c r="G11" s="232"/>
      <c r="H11" s="233"/>
      <c r="I11" s="65"/>
      <c r="J11" s="140" t="s">
        <v>52</v>
      </c>
      <c r="K11" s="139">
        <v>15</v>
      </c>
      <c r="L11" s="65"/>
      <c r="M11" s="65"/>
      <c r="N11" s="65"/>
      <c r="O11" s="15"/>
      <c r="S11" s="65"/>
      <c r="T11" s="65"/>
      <c r="U11" s="65"/>
      <c r="V11" s="65"/>
    </row>
    <row r="12" spans="2:33" ht="6" customHeight="1" x14ac:dyDescent="0.2">
      <c r="B12" s="16"/>
      <c r="C12" s="230"/>
      <c r="D12" s="230"/>
      <c r="E12" s="230"/>
      <c r="F12" s="230"/>
      <c r="G12" s="230"/>
      <c r="H12" s="230"/>
      <c r="I12" s="230"/>
      <c r="J12" s="230"/>
      <c r="K12" s="230"/>
      <c r="L12" s="4"/>
      <c r="M12" s="4"/>
      <c r="N12" s="4"/>
      <c r="O12" s="17"/>
      <c r="S12" s="4"/>
      <c r="T12" s="4"/>
      <c r="U12" s="4"/>
      <c r="V12" s="4"/>
      <c r="X12" s="3"/>
      <c r="Y12" s="3"/>
      <c r="Z12" s="3"/>
      <c r="AA12" s="3"/>
      <c r="AB12" s="3"/>
      <c r="AC12" s="3"/>
      <c r="AD12" s="3"/>
      <c r="AE12" s="3"/>
      <c r="AF12" s="3"/>
      <c r="AG12" s="3"/>
    </row>
    <row r="13" spans="2:33" s="8" customFormat="1" ht="12.75" customHeight="1" x14ac:dyDescent="0.25">
      <c r="B13" s="14"/>
      <c r="C13" s="243" t="s">
        <v>114</v>
      </c>
      <c r="D13" s="243"/>
      <c r="E13" s="243"/>
      <c r="F13" s="243"/>
      <c r="G13" s="243"/>
      <c r="H13" s="243"/>
      <c r="I13" s="243"/>
      <c r="J13" s="243"/>
      <c r="K13" s="243"/>
      <c r="L13" s="65"/>
      <c r="M13" s="65"/>
      <c r="N13" s="65"/>
      <c r="O13" s="15"/>
      <c r="S13" s="65"/>
      <c r="T13" s="65"/>
      <c r="U13" s="65"/>
      <c r="V13" s="65"/>
    </row>
    <row r="14" spans="2:33" ht="12.75" customHeight="1" x14ac:dyDescent="0.2">
      <c r="B14" s="16"/>
      <c r="C14" s="234" t="s">
        <v>101</v>
      </c>
      <c r="D14" s="234"/>
      <c r="E14" s="234"/>
      <c r="F14" s="234"/>
      <c r="G14" s="234"/>
      <c r="H14" s="234"/>
      <c r="I14" s="4"/>
      <c r="J14" s="140" t="s">
        <v>22</v>
      </c>
      <c r="K14" s="139">
        <v>564000</v>
      </c>
      <c r="L14" s="4"/>
      <c r="M14" s="4"/>
      <c r="N14" s="4"/>
      <c r="O14" s="17"/>
      <c r="P14" s="2"/>
      <c r="S14" s="4"/>
      <c r="T14" s="4"/>
      <c r="U14" s="4"/>
      <c r="V14" s="4"/>
      <c r="X14" s="2"/>
      <c r="Y14" s="2"/>
      <c r="Z14" s="2"/>
      <c r="AA14" s="2"/>
      <c r="AB14" s="2"/>
      <c r="AC14" s="2"/>
      <c r="AD14" s="2"/>
      <c r="AE14" s="2"/>
      <c r="AF14" s="2"/>
      <c r="AG14" s="2"/>
    </row>
    <row r="15" spans="2:33" ht="12.75" customHeight="1" x14ac:dyDescent="0.2">
      <c r="B15" s="16"/>
      <c r="C15" s="234" t="s">
        <v>24</v>
      </c>
      <c r="D15" s="234"/>
      <c r="E15" s="234"/>
      <c r="F15" s="234"/>
      <c r="G15" s="234"/>
      <c r="H15" s="234"/>
      <c r="I15" s="4"/>
      <c r="J15" s="141" t="s">
        <v>28</v>
      </c>
      <c r="K15" s="142"/>
      <c r="L15" s="4"/>
      <c r="M15" s="4"/>
      <c r="N15" s="4"/>
      <c r="O15" s="17"/>
      <c r="S15" s="4"/>
      <c r="T15" s="4"/>
      <c r="U15" s="4"/>
      <c r="V15" s="4"/>
      <c r="X15" s="3"/>
      <c r="Y15" s="3"/>
      <c r="Z15" s="3"/>
      <c r="AA15" s="3"/>
      <c r="AB15" s="3"/>
      <c r="AC15" s="3"/>
      <c r="AD15" s="3"/>
      <c r="AE15" s="3"/>
      <c r="AF15" s="3"/>
      <c r="AG15" s="3"/>
    </row>
    <row r="16" spans="2:33" ht="12.75" customHeight="1" x14ac:dyDescent="0.2">
      <c r="B16" s="16"/>
      <c r="C16" s="234" t="s">
        <v>27</v>
      </c>
      <c r="D16" s="234"/>
      <c r="E16" s="234"/>
      <c r="F16" s="234"/>
      <c r="G16" s="234"/>
      <c r="H16" s="234"/>
      <c r="I16" s="4"/>
      <c r="J16" s="143" t="s">
        <v>23</v>
      </c>
      <c r="K16" s="139">
        <v>0</v>
      </c>
      <c r="L16" s="4"/>
      <c r="M16" s="4"/>
      <c r="N16" s="4"/>
      <c r="O16" s="17"/>
      <c r="P16" s="52"/>
      <c r="S16" s="4"/>
      <c r="T16" s="4"/>
      <c r="U16" s="4"/>
      <c r="V16" s="4"/>
      <c r="X16" s="3"/>
      <c r="Y16" s="3"/>
      <c r="Z16" s="3"/>
      <c r="AA16" s="3"/>
      <c r="AB16" s="3"/>
      <c r="AC16" s="3"/>
      <c r="AD16" s="3"/>
      <c r="AE16" s="3"/>
      <c r="AF16" s="3"/>
      <c r="AG16" s="3"/>
    </row>
    <row r="17" spans="2:33" ht="12.75" customHeight="1" x14ac:dyDescent="0.2">
      <c r="B17" s="16"/>
      <c r="C17" s="231" t="s">
        <v>30</v>
      </c>
      <c r="D17" s="232"/>
      <c r="E17" s="232"/>
      <c r="F17" s="232"/>
      <c r="G17" s="232"/>
      <c r="H17" s="233"/>
      <c r="I17" s="4"/>
      <c r="J17" s="143" t="s">
        <v>113</v>
      </c>
      <c r="K17" s="144">
        <v>1.3</v>
      </c>
      <c r="L17" s="4"/>
      <c r="M17" s="4"/>
      <c r="N17" s="120"/>
      <c r="O17" s="17"/>
      <c r="P17" s="52"/>
      <c r="S17" s="4"/>
      <c r="T17" s="4"/>
      <c r="U17" s="4"/>
      <c r="V17" s="4"/>
      <c r="X17" s="3"/>
      <c r="Y17" s="3"/>
      <c r="Z17" s="3"/>
      <c r="AA17" s="3"/>
      <c r="AB17" s="3"/>
      <c r="AC17" s="3"/>
      <c r="AD17" s="3"/>
      <c r="AE17" s="3"/>
      <c r="AF17" s="3"/>
      <c r="AG17" s="3"/>
    </row>
    <row r="18" spans="2:33" ht="12.75" customHeight="1" x14ac:dyDescent="0.2">
      <c r="B18" s="16"/>
      <c r="C18" s="231" t="s">
        <v>25</v>
      </c>
      <c r="D18" s="232"/>
      <c r="E18" s="232"/>
      <c r="F18" s="232"/>
      <c r="G18" s="232"/>
      <c r="H18" s="233"/>
      <c r="I18" s="4"/>
      <c r="J18" s="141" t="s">
        <v>108</v>
      </c>
      <c r="K18" s="142"/>
      <c r="L18" s="4"/>
      <c r="M18" s="4"/>
      <c r="N18" s="4"/>
      <c r="O18" s="17"/>
      <c r="P18" s="52"/>
      <c r="S18" s="4"/>
      <c r="T18" s="4"/>
      <c r="U18" s="4"/>
      <c r="V18" s="4"/>
      <c r="X18" s="3"/>
      <c r="Y18" s="3"/>
      <c r="Z18" s="3"/>
      <c r="AA18" s="3"/>
      <c r="AB18" s="3"/>
      <c r="AC18" s="3"/>
      <c r="AD18" s="3"/>
      <c r="AE18" s="3"/>
      <c r="AF18" s="3"/>
      <c r="AG18" s="3"/>
    </row>
    <row r="19" spans="2:33" ht="12.75" customHeight="1" x14ac:dyDescent="0.2">
      <c r="B19" s="16"/>
      <c r="C19" s="231" t="s">
        <v>26</v>
      </c>
      <c r="D19" s="232"/>
      <c r="E19" s="232"/>
      <c r="F19" s="232"/>
      <c r="G19" s="232"/>
      <c r="H19" s="233"/>
      <c r="I19" s="4"/>
      <c r="J19" s="143" t="s">
        <v>109</v>
      </c>
      <c r="K19" s="139">
        <v>0</v>
      </c>
      <c r="L19" s="4"/>
      <c r="M19" s="4"/>
      <c r="N19" s="4"/>
      <c r="O19" s="17"/>
      <c r="P19" s="52"/>
      <c r="S19" s="4"/>
      <c r="T19" s="4"/>
      <c r="U19" s="4"/>
      <c r="V19" s="4"/>
      <c r="X19" s="3"/>
      <c r="Y19" s="3"/>
      <c r="Z19" s="3"/>
      <c r="AA19" s="3"/>
      <c r="AB19" s="3"/>
      <c r="AC19" s="3"/>
      <c r="AD19" s="3"/>
      <c r="AE19" s="3"/>
      <c r="AF19" s="3"/>
      <c r="AG19" s="3"/>
    </row>
    <row r="20" spans="2:33" ht="12.75" customHeight="1" x14ac:dyDescent="0.2">
      <c r="B20" s="16"/>
      <c r="C20" s="231" t="s">
        <v>31</v>
      </c>
      <c r="D20" s="232"/>
      <c r="E20" s="232"/>
      <c r="F20" s="232"/>
      <c r="G20" s="232"/>
      <c r="H20" s="233"/>
      <c r="I20" s="4"/>
      <c r="J20" s="143" t="s">
        <v>113</v>
      </c>
      <c r="K20" s="145">
        <v>0.15</v>
      </c>
      <c r="L20" s="4"/>
      <c r="M20" s="4"/>
      <c r="N20" s="4"/>
      <c r="O20" s="17"/>
      <c r="P20" s="52"/>
      <c r="S20" s="4"/>
      <c r="T20" s="4"/>
      <c r="U20" s="4"/>
      <c r="V20" s="4"/>
      <c r="X20" s="3"/>
      <c r="Y20" s="3"/>
      <c r="Z20" s="3"/>
      <c r="AA20" s="3"/>
      <c r="AB20" s="3"/>
      <c r="AC20" s="3"/>
      <c r="AD20" s="3"/>
      <c r="AE20" s="3"/>
      <c r="AF20" s="3"/>
      <c r="AG20" s="3"/>
    </row>
    <row r="21" spans="2:33" ht="12.75" customHeight="1" x14ac:dyDescent="0.2">
      <c r="B21" s="16"/>
      <c r="C21" s="69" t="s">
        <v>104</v>
      </c>
      <c r="D21" s="70"/>
      <c r="E21" s="70"/>
      <c r="F21" s="70"/>
      <c r="G21" s="70"/>
      <c r="H21" s="70"/>
      <c r="I21" s="70"/>
      <c r="J21" s="143" t="s">
        <v>53</v>
      </c>
      <c r="K21" s="146">
        <v>479</v>
      </c>
      <c r="L21" s="4"/>
      <c r="M21" s="4"/>
      <c r="N21" s="4"/>
      <c r="O21" s="17"/>
      <c r="P21" s="52"/>
      <c r="S21" s="4"/>
      <c r="T21" s="4"/>
      <c r="U21" s="4"/>
      <c r="V21" s="4"/>
      <c r="X21" s="3"/>
      <c r="Y21" s="3"/>
      <c r="Z21" s="3"/>
      <c r="AA21" s="3"/>
      <c r="AB21" s="3"/>
      <c r="AC21" s="3"/>
      <c r="AD21" s="3"/>
      <c r="AE21" s="3"/>
      <c r="AF21" s="3"/>
      <c r="AG21" s="3"/>
    </row>
    <row r="22" spans="2:33" ht="12.75" customHeight="1" x14ac:dyDescent="0.2">
      <c r="B22" s="16"/>
      <c r="C22" s="244" t="s">
        <v>107</v>
      </c>
      <c r="D22" s="245"/>
      <c r="E22" s="245"/>
      <c r="F22" s="245"/>
      <c r="G22" s="245"/>
      <c r="H22" s="245"/>
      <c r="I22" s="245"/>
      <c r="J22" s="123"/>
      <c r="K22" s="146">
        <v>1</v>
      </c>
      <c r="L22" s="4"/>
      <c r="M22" s="4"/>
      <c r="N22" s="4"/>
      <c r="O22" s="17"/>
      <c r="P22" s="52"/>
      <c r="S22" s="4"/>
      <c r="T22" s="4"/>
      <c r="U22" s="4"/>
      <c r="V22" s="4"/>
      <c r="X22" s="3"/>
      <c r="Y22" s="3"/>
      <c r="Z22" s="3"/>
      <c r="AA22" s="3"/>
      <c r="AB22" s="3"/>
      <c r="AC22" s="3"/>
      <c r="AD22" s="3"/>
      <c r="AE22" s="3"/>
      <c r="AF22" s="3"/>
      <c r="AG22" s="3"/>
    </row>
    <row r="23" spans="2:33" ht="12.75" customHeight="1" x14ac:dyDescent="0.2">
      <c r="B23" s="16"/>
      <c r="C23" s="121" t="s">
        <v>97</v>
      </c>
      <c r="D23" s="122"/>
      <c r="E23" s="122"/>
      <c r="F23" s="122"/>
      <c r="G23" s="122"/>
      <c r="H23" s="122"/>
      <c r="I23" s="122"/>
      <c r="J23" s="123"/>
      <c r="K23" s="146">
        <v>4</v>
      </c>
      <c r="L23" s="4"/>
      <c r="M23" s="4"/>
      <c r="N23" s="4"/>
      <c r="O23" s="17"/>
      <c r="S23" s="4"/>
      <c r="T23" s="4"/>
      <c r="U23" s="4"/>
      <c r="V23" s="4"/>
      <c r="X23" s="3"/>
      <c r="Y23" s="3"/>
      <c r="Z23" s="3"/>
      <c r="AA23" s="3"/>
      <c r="AB23" s="3"/>
      <c r="AC23" s="3"/>
      <c r="AD23" s="3"/>
      <c r="AE23" s="3"/>
      <c r="AF23" s="3"/>
      <c r="AG23" s="3"/>
    </row>
    <row r="24" spans="2:33" ht="4.5" customHeight="1" x14ac:dyDescent="0.2">
      <c r="B24" s="16"/>
      <c r="C24" s="230"/>
      <c r="D24" s="230"/>
      <c r="E24" s="230"/>
      <c r="F24" s="230"/>
      <c r="G24" s="230"/>
      <c r="H24" s="230"/>
      <c r="I24" s="230"/>
      <c r="J24" s="230"/>
      <c r="K24" s="230"/>
      <c r="L24" s="4"/>
      <c r="M24" s="4"/>
      <c r="N24" s="4"/>
      <c r="O24" s="17"/>
      <c r="S24" s="4"/>
      <c r="T24" s="4"/>
      <c r="U24" s="4"/>
      <c r="V24" s="4"/>
      <c r="X24" s="3"/>
      <c r="Y24" s="3"/>
      <c r="Z24" s="3"/>
      <c r="AA24" s="3"/>
      <c r="AB24" s="3"/>
      <c r="AC24" s="3"/>
      <c r="AD24" s="3"/>
      <c r="AE24" s="3"/>
      <c r="AF24" s="3"/>
      <c r="AG24" s="3"/>
    </row>
    <row r="25" spans="2:33" ht="12.75" customHeight="1" x14ac:dyDescent="0.25">
      <c r="B25" s="16"/>
      <c r="C25" s="243" t="s">
        <v>115</v>
      </c>
      <c r="D25" s="243"/>
      <c r="E25" s="243"/>
      <c r="F25" s="243"/>
      <c r="G25" s="243"/>
      <c r="H25" s="243"/>
      <c r="I25" s="243"/>
      <c r="J25" s="243"/>
      <c r="K25" s="243"/>
      <c r="L25" s="4"/>
      <c r="M25" s="4"/>
      <c r="N25" s="4"/>
      <c r="O25" s="17"/>
      <c r="S25" s="72"/>
      <c r="T25" s="4"/>
      <c r="U25" s="4"/>
      <c r="V25" s="86"/>
      <c r="W25" s="3"/>
      <c r="X25" s="3"/>
      <c r="Y25" s="3"/>
      <c r="Z25" s="3"/>
      <c r="AA25" s="3"/>
      <c r="AB25" s="3"/>
      <c r="AC25" s="3"/>
      <c r="AD25" s="3"/>
      <c r="AE25" s="3"/>
      <c r="AF25" s="3"/>
      <c r="AG25" s="3"/>
    </row>
    <row r="26" spans="2:33" ht="12.75" customHeight="1" x14ac:dyDescent="0.2">
      <c r="B26" s="16"/>
      <c r="C26" s="277" t="s">
        <v>102</v>
      </c>
      <c r="D26" s="278"/>
      <c r="E26" s="278"/>
      <c r="F26" s="278"/>
      <c r="G26" s="278"/>
      <c r="H26" s="278"/>
      <c r="I26" s="279"/>
      <c r="J26" s="140" t="s">
        <v>22</v>
      </c>
      <c r="K26" s="139">
        <v>90240</v>
      </c>
      <c r="L26" s="4"/>
      <c r="M26" s="4"/>
      <c r="N26" s="4"/>
      <c r="O26" s="17"/>
      <c r="S26" s="72"/>
      <c r="T26" s="4"/>
      <c r="U26" s="4"/>
      <c r="V26" s="86"/>
      <c r="W26" s="3"/>
      <c r="X26" s="3"/>
      <c r="Y26" s="3"/>
      <c r="Z26" s="3"/>
      <c r="AA26" s="3"/>
      <c r="AB26" s="3"/>
      <c r="AC26" s="3"/>
      <c r="AD26" s="3"/>
      <c r="AE26" s="3"/>
      <c r="AF26" s="3"/>
      <c r="AG26" s="3"/>
    </row>
    <row r="27" spans="2:33" ht="12.75" customHeight="1" x14ac:dyDescent="0.2">
      <c r="B27" s="16"/>
      <c r="C27" s="69" t="s">
        <v>105</v>
      </c>
      <c r="D27" s="70"/>
      <c r="E27" s="70"/>
      <c r="F27" s="70"/>
      <c r="G27" s="70"/>
      <c r="H27" s="70"/>
      <c r="I27" s="70"/>
      <c r="J27" s="140" t="s">
        <v>53</v>
      </c>
      <c r="K27" s="146">
        <v>804</v>
      </c>
      <c r="L27" s="4"/>
      <c r="M27" s="4"/>
      <c r="N27" s="4"/>
      <c r="O27" s="17"/>
      <c r="S27" s="72"/>
      <c r="T27" s="4"/>
      <c r="U27" s="4"/>
      <c r="V27" s="86"/>
      <c r="W27" s="3"/>
      <c r="X27" s="3"/>
      <c r="Y27" s="3"/>
      <c r="Z27" s="3"/>
      <c r="AA27" s="3"/>
      <c r="AB27" s="3"/>
      <c r="AC27" s="3"/>
      <c r="AD27" s="3"/>
      <c r="AE27" s="3"/>
      <c r="AF27" s="3"/>
      <c r="AG27" s="3"/>
    </row>
    <row r="28" spans="2:33" ht="12.75" customHeight="1" x14ac:dyDescent="0.2">
      <c r="B28" s="16"/>
      <c r="C28" s="69" t="s">
        <v>106</v>
      </c>
      <c r="D28" s="70"/>
      <c r="E28" s="70"/>
      <c r="F28" s="70"/>
      <c r="G28" s="70"/>
      <c r="H28" s="70"/>
      <c r="I28" s="70"/>
      <c r="J28" s="140" t="s">
        <v>53</v>
      </c>
      <c r="K28" s="147">
        <f>K21-K27</f>
        <v>-325</v>
      </c>
      <c r="L28" s="4"/>
      <c r="M28" s="4"/>
      <c r="N28" s="4"/>
      <c r="O28" s="17"/>
      <c r="S28" s="72"/>
      <c r="T28" s="4"/>
      <c r="U28" s="4"/>
      <c r="V28" s="86"/>
      <c r="W28" s="3"/>
      <c r="X28" s="3"/>
      <c r="Y28" s="3"/>
      <c r="Z28" s="3"/>
      <c r="AA28" s="3"/>
      <c r="AB28" s="3"/>
      <c r="AC28" s="3"/>
      <c r="AD28" s="3"/>
      <c r="AE28" s="3"/>
      <c r="AF28" s="3"/>
      <c r="AG28" s="3"/>
    </row>
    <row r="29" spans="2:33" ht="12.75" customHeight="1" x14ac:dyDescent="0.2">
      <c r="B29" s="16"/>
      <c r="C29" s="240" t="s">
        <v>110</v>
      </c>
      <c r="D29" s="241"/>
      <c r="E29" s="241"/>
      <c r="F29" s="241"/>
      <c r="G29" s="241"/>
      <c r="H29" s="241"/>
      <c r="I29" s="242"/>
      <c r="J29" s="143" t="str">
        <f>J16</f>
        <v>lt</v>
      </c>
      <c r="K29" s="139">
        <v>0</v>
      </c>
      <c r="L29" s="4"/>
      <c r="M29" s="4"/>
      <c r="N29" s="4"/>
      <c r="O29" s="17"/>
      <c r="S29" s="72"/>
      <c r="T29" s="4"/>
      <c r="U29" s="4"/>
      <c r="V29" s="86"/>
      <c r="W29" s="3"/>
      <c r="X29" s="3"/>
      <c r="Y29" s="3"/>
      <c r="Z29" s="3"/>
      <c r="AA29" s="3"/>
      <c r="AB29" s="3"/>
      <c r="AC29" s="3"/>
      <c r="AD29" s="3"/>
      <c r="AE29" s="3"/>
      <c r="AF29" s="3"/>
      <c r="AG29" s="3"/>
    </row>
    <row r="30" spans="2:33" ht="12.75" customHeight="1" x14ac:dyDescent="0.2">
      <c r="B30" s="16"/>
      <c r="C30" s="280" t="s">
        <v>111</v>
      </c>
      <c r="D30" s="281"/>
      <c r="E30" s="281"/>
      <c r="F30" s="281"/>
      <c r="G30" s="281"/>
      <c r="H30" s="281"/>
      <c r="I30" s="282"/>
      <c r="J30" s="143" t="str">
        <f>J19</f>
        <v>m3</v>
      </c>
      <c r="K30" s="139">
        <v>0</v>
      </c>
      <c r="L30" s="4"/>
      <c r="M30" s="4"/>
      <c r="N30" s="4"/>
      <c r="O30" s="17"/>
      <c r="S30" s="72"/>
      <c r="T30" s="4"/>
      <c r="U30" s="4"/>
      <c r="V30" s="86"/>
      <c r="W30" s="3"/>
      <c r="X30" s="3"/>
      <c r="Y30" s="3"/>
      <c r="Z30" s="3"/>
      <c r="AA30" s="3"/>
      <c r="AB30" s="3"/>
      <c r="AC30" s="3"/>
      <c r="AD30" s="3"/>
      <c r="AE30" s="3"/>
      <c r="AF30" s="3"/>
      <c r="AG30" s="3"/>
    </row>
    <row r="31" spans="2:33" ht="5.25" customHeight="1" x14ac:dyDescent="0.2">
      <c r="B31" s="16"/>
      <c r="C31" s="230"/>
      <c r="D31" s="230"/>
      <c r="E31" s="230"/>
      <c r="F31" s="230"/>
      <c r="G31" s="230"/>
      <c r="H31" s="230"/>
      <c r="I31" s="230"/>
      <c r="J31" s="230"/>
      <c r="K31" s="230"/>
      <c r="L31" s="4"/>
      <c r="M31" s="4"/>
      <c r="N31" s="4"/>
      <c r="O31" s="17"/>
      <c r="S31" s="72"/>
      <c r="T31" s="4"/>
      <c r="U31" s="4"/>
      <c r="V31" s="86"/>
      <c r="W31" s="3"/>
      <c r="X31" s="3"/>
      <c r="Y31" s="3"/>
      <c r="Z31" s="3"/>
      <c r="AA31" s="3"/>
      <c r="AB31" s="3"/>
      <c r="AC31" s="3"/>
      <c r="AD31" s="3"/>
      <c r="AE31" s="3"/>
      <c r="AF31" s="3"/>
      <c r="AG31" s="3"/>
    </row>
    <row r="32" spans="2:33" ht="12.75" customHeight="1" x14ac:dyDescent="0.25">
      <c r="B32" s="16"/>
      <c r="C32" s="243" t="s">
        <v>116</v>
      </c>
      <c r="D32" s="243"/>
      <c r="E32" s="243"/>
      <c r="F32" s="243"/>
      <c r="G32" s="243"/>
      <c r="H32" s="243"/>
      <c r="I32" s="243"/>
      <c r="J32" s="243"/>
      <c r="K32" s="243"/>
      <c r="L32" s="4"/>
      <c r="M32" s="4"/>
      <c r="N32" s="4"/>
      <c r="O32" s="17"/>
      <c r="S32" s="72"/>
      <c r="T32" s="4"/>
      <c r="U32" s="4"/>
      <c r="V32" s="86"/>
      <c r="W32" s="3"/>
      <c r="X32" s="3"/>
      <c r="Y32" s="3"/>
      <c r="Z32" s="3"/>
      <c r="AA32" s="3"/>
      <c r="AB32" s="3"/>
      <c r="AC32" s="3"/>
      <c r="AD32" s="3"/>
      <c r="AE32" s="3"/>
      <c r="AF32" s="3"/>
      <c r="AG32" s="3"/>
    </row>
    <row r="33" spans="2:33" ht="12.75" customHeight="1" x14ac:dyDescent="0.2">
      <c r="B33" s="16"/>
      <c r="C33" s="231" t="s">
        <v>133</v>
      </c>
      <c r="D33" s="232"/>
      <c r="E33" s="232"/>
      <c r="F33" s="232"/>
      <c r="G33" s="232"/>
      <c r="H33" s="232"/>
      <c r="I33" s="232"/>
      <c r="J33" s="233"/>
      <c r="K33" s="146" t="s">
        <v>103</v>
      </c>
      <c r="L33" s="4"/>
      <c r="M33" s="4"/>
      <c r="N33" s="4"/>
      <c r="O33" s="17"/>
      <c r="S33" s="72"/>
      <c r="T33" s="4"/>
      <c r="U33" s="4"/>
      <c r="V33" s="86"/>
      <c r="W33" s="3"/>
      <c r="X33" s="3"/>
      <c r="Y33" s="3"/>
      <c r="Z33" s="3"/>
      <c r="AA33" s="3"/>
      <c r="AB33" s="3"/>
      <c r="AC33" s="3"/>
      <c r="AD33" s="3"/>
      <c r="AE33" s="3"/>
      <c r="AF33" s="3"/>
      <c r="AG33" s="3"/>
    </row>
    <row r="34" spans="2:33" ht="11.25" customHeight="1" x14ac:dyDescent="0.2">
      <c r="B34" s="16"/>
      <c r="C34" s="231" t="s">
        <v>134</v>
      </c>
      <c r="D34" s="232"/>
      <c r="E34" s="232"/>
      <c r="F34" s="232"/>
      <c r="G34" s="232"/>
      <c r="H34" s="232"/>
      <c r="I34" s="232"/>
      <c r="J34" s="233"/>
      <c r="K34" s="146" t="s">
        <v>103</v>
      </c>
      <c r="L34" s="4"/>
      <c r="M34" s="4"/>
      <c r="N34" s="4"/>
      <c r="O34" s="17"/>
      <c r="S34" s="72"/>
      <c r="T34" s="4"/>
      <c r="U34" s="4"/>
      <c r="V34" s="86"/>
      <c r="W34" s="3"/>
      <c r="X34" s="3"/>
      <c r="Y34" s="3"/>
      <c r="Z34" s="3"/>
      <c r="AA34" s="3"/>
      <c r="AB34" s="3"/>
      <c r="AC34" s="3"/>
      <c r="AD34" s="3"/>
      <c r="AE34" s="3"/>
      <c r="AF34" s="3"/>
      <c r="AG34" s="3"/>
    </row>
    <row r="35" spans="2:33" ht="11.25" customHeight="1" x14ac:dyDescent="0.2">
      <c r="B35" s="16"/>
      <c r="C35" s="231" t="s">
        <v>61</v>
      </c>
      <c r="D35" s="232"/>
      <c r="E35" s="232"/>
      <c r="F35" s="232"/>
      <c r="G35" s="232"/>
      <c r="H35" s="232"/>
      <c r="I35" s="232"/>
      <c r="J35" s="233"/>
      <c r="K35" s="146">
        <v>338274</v>
      </c>
      <c r="L35" s="4"/>
      <c r="M35" s="4"/>
      <c r="N35" s="4"/>
      <c r="O35" s="17"/>
      <c r="S35" s="72"/>
      <c r="T35" s="4"/>
      <c r="U35" s="4"/>
      <c r="V35" s="86"/>
      <c r="W35" s="3"/>
      <c r="X35" s="3"/>
      <c r="Y35" s="3"/>
      <c r="Z35" s="3"/>
      <c r="AA35" s="3"/>
      <c r="AB35" s="3"/>
      <c r="AC35" s="3"/>
      <c r="AD35" s="3"/>
      <c r="AE35" s="3"/>
      <c r="AF35" s="3"/>
      <c r="AG35" s="3"/>
    </row>
    <row r="36" spans="2:33" ht="11.25" customHeight="1" x14ac:dyDescent="0.2">
      <c r="B36" s="16"/>
      <c r="C36" s="231" t="s">
        <v>59</v>
      </c>
      <c r="D36" s="232"/>
      <c r="E36" s="232"/>
      <c r="F36" s="232"/>
      <c r="G36" s="232"/>
      <c r="H36" s="232"/>
      <c r="I36" s="232"/>
      <c r="J36" s="233"/>
      <c r="K36" s="146"/>
      <c r="L36" s="4"/>
      <c r="M36" s="4"/>
      <c r="N36" s="4"/>
      <c r="O36" s="17"/>
      <c r="Q36" s="3"/>
      <c r="R36" s="3"/>
      <c r="S36" s="86"/>
      <c r="T36" s="86"/>
      <c r="U36" s="86"/>
      <c r="V36" s="86"/>
      <c r="W36" s="3"/>
      <c r="X36" s="3"/>
      <c r="Y36" s="3"/>
      <c r="Z36" s="3"/>
      <c r="AA36" s="3"/>
      <c r="AB36" s="3"/>
      <c r="AC36" s="3"/>
      <c r="AD36" s="3"/>
      <c r="AE36" s="3"/>
      <c r="AF36" s="3"/>
      <c r="AG36" s="3"/>
    </row>
    <row r="37" spans="2:33" s="8" customFormat="1" ht="11.25" customHeight="1" x14ac:dyDescent="0.2">
      <c r="B37" s="14"/>
      <c r="C37" s="231" t="s">
        <v>117</v>
      </c>
      <c r="D37" s="232"/>
      <c r="E37" s="232"/>
      <c r="F37" s="232"/>
      <c r="G37" s="232"/>
      <c r="H37" s="232"/>
      <c r="I37" s="232"/>
      <c r="J37" s="233"/>
      <c r="K37" s="146">
        <v>5300</v>
      </c>
      <c r="L37" s="65"/>
      <c r="M37" s="65"/>
      <c r="N37" s="65"/>
      <c r="O37" s="15"/>
      <c r="S37" s="65"/>
      <c r="T37" s="65"/>
      <c r="U37" s="65"/>
      <c r="V37" s="65"/>
    </row>
    <row r="38" spans="2:33" s="8" customFormat="1" ht="11.25" customHeight="1" x14ac:dyDescent="0.2">
      <c r="B38" s="14"/>
      <c r="C38" s="231" t="s">
        <v>118</v>
      </c>
      <c r="D38" s="232"/>
      <c r="E38" s="232"/>
      <c r="F38" s="232"/>
      <c r="G38" s="232"/>
      <c r="H38" s="232"/>
      <c r="I38" s="232"/>
      <c r="J38" s="233"/>
      <c r="K38" s="146">
        <v>58382</v>
      </c>
      <c r="L38" s="65"/>
      <c r="M38" s="65"/>
      <c r="N38" s="65"/>
      <c r="O38" s="15"/>
      <c r="S38" s="65"/>
      <c r="T38" s="65"/>
      <c r="U38" s="65"/>
      <c r="V38" s="65"/>
    </row>
    <row r="39" spans="2:33" s="8" customFormat="1" ht="11.25" customHeight="1" x14ac:dyDescent="0.2">
      <c r="B39" s="14"/>
      <c r="C39" s="231" t="s">
        <v>119</v>
      </c>
      <c r="D39" s="232"/>
      <c r="E39" s="232"/>
      <c r="F39" s="232"/>
      <c r="G39" s="232"/>
      <c r="H39" s="232"/>
      <c r="I39" s="232"/>
      <c r="J39" s="233"/>
      <c r="K39" s="146">
        <f>SUM(K35:K38)</f>
        <v>401956</v>
      </c>
      <c r="L39" s="65"/>
      <c r="M39" s="65"/>
      <c r="N39" s="65"/>
      <c r="O39" s="15"/>
      <c r="S39" s="65"/>
      <c r="T39" s="65"/>
      <c r="U39" s="65"/>
      <c r="V39" s="65"/>
    </row>
    <row r="40" spans="2:33" s="8" customFormat="1" ht="4.5" customHeight="1" x14ac:dyDescent="0.2">
      <c r="B40" s="14"/>
      <c r="C40" s="230"/>
      <c r="D40" s="230"/>
      <c r="E40" s="230"/>
      <c r="F40" s="230"/>
      <c r="G40" s="230"/>
      <c r="H40" s="230"/>
      <c r="I40" s="230"/>
      <c r="J40" s="230"/>
      <c r="K40" s="230"/>
      <c r="L40" s="65"/>
      <c r="M40" s="65"/>
      <c r="N40" s="65"/>
      <c r="O40" s="15"/>
      <c r="S40" s="65"/>
      <c r="T40" s="65"/>
      <c r="U40" s="65"/>
      <c r="V40" s="65"/>
    </row>
    <row r="41" spans="2:33" s="8" customFormat="1" ht="12.75" customHeight="1" x14ac:dyDescent="0.25">
      <c r="B41" s="14"/>
      <c r="C41" s="243" t="s">
        <v>11</v>
      </c>
      <c r="D41" s="243"/>
      <c r="E41" s="243"/>
      <c r="F41" s="243"/>
      <c r="G41" s="243"/>
      <c r="H41" s="243"/>
      <c r="I41" s="243"/>
      <c r="J41" s="243"/>
      <c r="K41" s="243"/>
      <c r="L41" s="65"/>
      <c r="M41" s="65"/>
      <c r="N41" s="65"/>
      <c r="O41" s="15"/>
      <c r="S41" s="65"/>
      <c r="T41" s="65"/>
      <c r="U41" s="65"/>
      <c r="V41" s="65"/>
    </row>
    <row r="42" spans="2:33" s="8" customFormat="1" ht="12.75" customHeight="1" x14ac:dyDescent="0.2">
      <c r="B42" s="14"/>
      <c r="C42" s="231" t="s">
        <v>112</v>
      </c>
      <c r="D42" s="232"/>
      <c r="E42" s="232"/>
      <c r="F42" s="232"/>
      <c r="G42" s="232"/>
      <c r="H42" s="232"/>
      <c r="I42" s="232"/>
      <c r="J42" s="233"/>
      <c r="K42" s="148">
        <v>0.02</v>
      </c>
      <c r="L42" s="65"/>
      <c r="M42" s="65"/>
      <c r="N42" s="65"/>
      <c r="O42" s="15"/>
      <c r="S42" s="65"/>
      <c r="T42" s="65"/>
      <c r="U42" s="65"/>
      <c r="V42" s="65"/>
    </row>
    <row r="43" spans="2:33" s="8" customFormat="1" ht="12.75" customHeight="1" x14ac:dyDescent="0.2">
      <c r="B43" s="14"/>
      <c r="C43" s="231" t="s">
        <v>29</v>
      </c>
      <c r="D43" s="232"/>
      <c r="E43" s="232"/>
      <c r="F43" s="232"/>
      <c r="G43" s="232"/>
      <c r="H43" s="232"/>
      <c r="I43" s="232"/>
      <c r="J43" s="233"/>
      <c r="K43" s="149">
        <v>0.11260000000000001</v>
      </c>
      <c r="L43" s="65"/>
      <c r="M43" s="65"/>
      <c r="N43" s="65"/>
      <c r="O43" s="15"/>
      <c r="S43" s="65"/>
      <c r="T43" s="65"/>
      <c r="U43" s="65"/>
      <c r="V43" s="65"/>
    </row>
    <row r="44" spans="2:33" s="8" customFormat="1" ht="12.75" customHeight="1" x14ac:dyDescent="0.2">
      <c r="B44" s="14"/>
      <c r="C44" s="231" t="s">
        <v>17</v>
      </c>
      <c r="D44" s="232"/>
      <c r="E44" s="232"/>
      <c r="F44" s="232"/>
      <c r="G44" s="232"/>
      <c r="H44" s="232"/>
      <c r="I44" s="232"/>
      <c r="J44" s="233"/>
      <c r="K44" s="150">
        <f>(K26-K14)/K14</f>
        <v>-0.84</v>
      </c>
      <c r="L44" s="65"/>
      <c r="M44" s="65"/>
      <c r="N44" s="65"/>
      <c r="O44" s="15"/>
      <c r="S44" s="65"/>
      <c r="T44" s="65"/>
      <c r="U44" s="65"/>
      <c r="V44" s="65"/>
    </row>
    <row r="45" spans="2:33" s="8" customFormat="1" ht="12.75" customHeight="1" x14ac:dyDescent="0.2">
      <c r="B45" s="14"/>
      <c r="C45" s="235" t="s">
        <v>135</v>
      </c>
      <c r="D45" s="236"/>
      <c r="E45" s="236"/>
      <c r="F45" s="236"/>
      <c r="G45" s="236"/>
      <c r="H45" s="236"/>
      <c r="I45" s="236"/>
      <c r="J45" s="237"/>
      <c r="K45" s="151">
        <v>0.01</v>
      </c>
      <c r="L45" s="65"/>
      <c r="M45" s="65"/>
      <c r="N45" s="65"/>
      <c r="O45" s="15"/>
      <c r="S45" s="65"/>
      <c r="T45" s="65"/>
      <c r="U45" s="65"/>
      <c r="V45" s="65"/>
    </row>
    <row r="46" spans="2:33" s="8" customFormat="1" ht="12.75" customHeight="1" x14ac:dyDescent="0.2">
      <c r="B46" s="14"/>
      <c r="C46" s="235" t="s">
        <v>136</v>
      </c>
      <c r="D46" s="236"/>
      <c r="E46" s="236"/>
      <c r="F46" s="236"/>
      <c r="G46" s="236"/>
      <c r="H46" s="236"/>
      <c r="I46" s="236"/>
      <c r="J46" s="237"/>
      <c r="K46" s="151">
        <v>0.01</v>
      </c>
      <c r="L46" s="65"/>
      <c r="M46" s="65"/>
      <c r="N46" s="65"/>
      <c r="O46" s="15"/>
      <c r="S46" s="65"/>
      <c r="T46" s="65"/>
      <c r="U46" s="65"/>
      <c r="V46" s="65"/>
    </row>
    <row r="47" spans="2:33" s="8" customFormat="1" ht="12.75" customHeight="1" x14ac:dyDescent="0.2">
      <c r="B47" s="14"/>
      <c r="C47" s="235" t="s">
        <v>137</v>
      </c>
      <c r="D47" s="236"/>
      <c r="E47" s="236"/>
      <c r="F47" s="236"/>
      <c r="G47" s="236"/>
      <c r="H47" s="236"/>
      <c r="I47" s="236"/>
      <c r="J47" s="237"/>
      <c r="K47" s="151">
        <v>0.01</v>
      </c>
      <c r="L47" s="65"/>
      <c r="M47" s="65"/>
      <c r="N47" s="65"/>
      <c r="O47" s="15"/>
      <c r="S47" s="65"/>
      <c r="T47" s="65"/>
      <c r="U47" s="65"/>
      <c r="V47" s="65"/>
    </row>
    <row r="48" spans="2:33" s="8" customFormat="1" ht="12.75" customHeight="1" x14ac:dyDescent="0.2">
      <c r="B48" s="14"/>
      <c r="C48" s="231" t="s">
        <v>3</v>
      </c>
      <c r="D48" s="232"/>
      <c r="E48" s="232"/>
      <c r="F48" s="232"/>
      <c r="G48" s="232"/>
      <c r="H48" s="232"/>
      <c r="I48" s="232"/>
      <c r="J48" s="233"/>
      <c r="K48" s="152">
        <v>0.01</v>
      </c>
      <c r="L48" s="65"/>
      <c r="M48" s="65"/>
      <c r="N48" s="65"/>
      <c r="O48" s="15"/>
      <c r="S48" s="65"/>
      <c r="T48" s="65"/>
      <c r="U48" s="65"/>
      <c r="V48" s="65"/>
    </row>
    <row r="49" spans="2:33" s="8" customFormat="1" ht="12.75" customHeight="1" x14ac:dyDescent="0.2">
      <c r="B49" s="14"/>
      <c r="C49" s="231" t="s">
        <v>32</v>
      </c>
      <c r="D49" s="232"/>
      <c r="E49" s="232"/>
      <c r="F49" s="232"/>
      <c r="G49" s="232"/>
      <c r="H49" s="232"/>
      <c r="I49" s="232"/>
      <c r="J49" s="233"/>
      <c r="K49" s="152">
        <v>0.01</v>
      </c>
      <c r="L49" s="65"/>
      <c r="M49" s="65"/>
      <c r="N49" s="65"/>
      <c r="O49" s="15"/>
      <c r="S49" s="65"/>
      <c r="T49" s="65"/>
      <c r="U49" s="65"/>
      <c r="V49" s="65"/>
    </row>
    <row r="50" spans="2:33" s="8" customFormat="1" ht="12.75" customHeight="1" x14ac:dyDescent="0.2">
      <c r="B50" s="14"/>
      <c r="C50" s="231" t="s">
        <v>33</v>
      </c>
      <c r="D50" s="232"/>
      <c r="E50" s="232"/>
      <c r="F50" s="232"/>
      <c r="G50" s="232"/>
      <c r="H50" s="232"/>
      <c r="I50" s="232"/>
      <c r="J50" s="233"/>
      <c r="K50" s="152">
        <v>0.01</v>
      </c>
      <c r="L50" s="65"/>
      <c r="M50" s="65"/>
      <c r="N50" s="65"/>
      <c r="O50" s="15"/>
      <c r="S50" s="65"/>
      <c r="T50" s="65"/>
      <c r="U50" s="65"/>
      <c r="V50" s="65"/>
    </row>
    <row r="51" spans="2:33" ht="4.5" customHeight="1" x14ac:dyDescent="0.2">
      <c r="B51" s="16"/>
      <c r="C51" s="230"/>
      <c r="D51" s="230"/>
      <c r="E51" s="230"/>
      <c r="F51" s="230"/>
      <c r="G51" s="230"/>
      <c r="H51" s="230"/>
      <c r="I51" s="230"/>
      <c r="J51" s="230"/>
      <c r="K51" s="230"/>
      <c r="L51" s="4"/>
      <c r="M51" s="4"/>
      <c r="N51" s="4"/>
      <c r="O51" s="17"/>
      <c r="Q51" s="3"/>
      <c r="R51" s="3"/>
      <c r="S51" s="86"/>
      <c r="T51" s="86"/>
      <c r="U51" s="86"/>
      <c r="V51" s="86"/>
      <c r="W51" s="3"/>
      <c r="X51" s="3"/>
      <c r="Y51" s="3"/>
      <c r="Z51" s="3"/>
      <c r="AA51" s="3"/>
      <c r="AB51" s="3"/>
      <c r="AC51" s="3"/>
      <c r="AD51" s="3"/>
      <c r="AE51" s="3"/>
      <c r="AF51" s="3"/>
      <c r="AG51" s="3"/>
    </row>
    <row r="52" spans="2:33" ht="12.75" customHeight="1" x14ac:dyDescent="0.25">
      <c r="B52" s="16"/>
      <c r="C52" s="238" t="s">
        <v>10</v>
      </c>
      <c r="D52" s="238"/>
      <c r="E52" s="238"/>
      <c r="F52" s="239"/>
      <c r="G52" s="238"/>
      <c r="H52" s="238"/>
      <c r="I52" s="238"/>
      <c r="J52" s="238"/>
      <c r="K52" s="238"/>
      <c r="L52" s="4"/>
      <c r="M52" s="4"/>
      <c r="N52" s="4"/>
      <c r="O52" s="17"/>
    </row>
    <row r="53" spans="2:33" ht="12.75" customHeight="1" thickBot="1" x14ac:dyDescent="0.25">
      <c r="B53" s="16"/>
      <c r="C53" s="117" t="s">
        <v>21</v>
      </c>
      <c r="D53" s="118"/>
      <c r="E53" s="118"/>
      <c r="F53" s="118"/>
      <c r="G53" s="118"/>
      <c r="H53" s="118"/>
      <c r="I53" s="118"/>
      <c r="J53" s="119"/>
      <c r="K53" s="10">
        <f>H63*G55+H62*J55+H55*H58</f>
        <v>5.3000000000000005E-2</v>
      </c>
      <c r="L53" s="4"/>
      <c r="M53" s="4"/>
      <c r="N53" s="4"/>
      <c r="O53" s="17"/>
    </row>
    <row r="54" spans="2:33" ht="37.5" customHeight="1" x14ac:dyDescent="0.2">
      <c r="B54" s="16"/>
      <c r="C54" s="69" t="s">
        <v>12</v>
      </c>
      <c r="D54" s="70"/>
      <c r="E54" s="70"/>
      <c r="F54" s="78" t="s">
        <v>91</v>
      </c>
      <c r="G54" s="75" t="s">
        <v>20</v>
      </c>
      <c r="H54" s="9" t="s">
        <v>13</v>
      </c>
      <c r="I54" s="9" t="s">
        <v>38</v>
      </c>
      <c r="J54" s="9" t="s">
        <v>42</v>
      </c>
      <c r="K54" s="79" t="s">
        <v>16</v>
      </c>
      <c r="L54" s="127"/>
      <c r="M54" s="127"/>
      <c r="N54" s="127"/>
      <c r="O54" s="18"/>
    </row>
    <row r="55" spans="2:33" ht="12.75" customHeight="1" thickBot="1" x14ac:dyDescent="0.25">
      <c r="B55" s="16"/>
      <c r="C55" s="69" t="s">
        <v>15</v>
      </c>
      <c r="D55" s="70"/>
      <c r="E55" s="70"/>
      <c r="F55" s="153">
        <v>0</v>
      </c>
      <c r="G55" s="154">
        <v>0</v>
      </c>
      <c r="H55" s="155">
        <v>0.7</v>
      </c>
      <c r="I55" s="155">
        <v>0.2</v>
      </c>
      <c r="J55" s="156">
        <f>1-G55-I55-H55-F55</f>
        <v>0.10000000000000009</v>
      </c>
      <c r="K55" s="156">
        <f>SUM(F55:J55)</f>
        <v>1</v>
      </c>
      <c r="L55" s="4"/>
      <c r="M55" s="4"/>
      <c r="N55" s="4"/>
      <c r="O55" s="17"/>
    </row>
    <row r="56" spans="2:33" ht="12.75" customHeight="1" x14ac:dyDescent="0.2">
      <c r="B56" s="16"/>
      <c r="C56" s="69" t="s">
        <v>18</v>
      </c>
      <c r="D56" s="70"/>
      <c r="E56" s="70"/>
      <c r="F56" s="157">
        <f>$K$39*F55</f>
        <v>0</v>
      </c>
      <c r="G56" s="157">
        <f>$K$39*G55</f>
        <v>0</v>
      </c>
      <c r="H56" s="157">
        <f>($K$39*H55)*(1+H60*H61)</f>
        <v>281369.19999999995</v>
      </c>
      <c r="I56" s="157">
        <f>$K$39*I55</f>
        <v>80391.200000000012</v>
      </c>
      <c r="J56" s="157">
        <f>$K$39*J55</f>
        <v>40195.600000000035</v>
      </c>
      <c r="K56" s="158">
        <f>SUM(F56:J56)</f>
        <v>401956</v>
      </c>
      <c r="L56" s="4"/>
      <c r="M56" s="4"/>
      <c r="N56" s="4"/>
      <c r="O56" s="17"/>
      <c r="R56" s="7"/>
    </row>
    <row r="57" spans="2:33" ht="4.5" customHeight="1" x14ac:dyDescent="0.2">
      <c r="B57" s="16"/>
      <c r="C57" s="268"/>
      <c r="D57" s="269"/>
      <c r="E57" s="269"/>
      <c r="F57" s="269"/>
      <c r="G57" s="269"/>
      <c r="H57" s="269"/>
      <c r="I57" s="269"/>
      <c r="J57" s="269"/>
      <c r="K57" s="270"/>
      <c r="L57" s="128"/>
      <c r="M57" s="128"/>
      <c r="N57" s="128"/>
      <c r="O57" s="19"/>
      <c r="R57" s="7"/>
    </row>
    <row r="58" spans="2:33" ht="12.75" customHeight="1" x14ac:dyDescent="0.2">
      <c r="B58" s="16"/>
      <c r="C58" s="283" t="s">
        <v>35</v>
      </c>
      <c r="D58" s="33"/>
      <c r="E58" s="234" t="s">
        <v>19</v>
      </c>
      <c r="F58" s="234"/>
      <c r="G58" s="4"/>
      <c r="H58" s="159">
        <v>7.0000000000000007E-2</v>
      </c>
      <c r="I58" s="35"/>
      <c r="J58" s="53"/>
      <c r="K58" s="36"/>
      <c r="L58" s="4"/>
      <c r="M58" s="4"/>
      <c r="N58" s="4"/>
      <c r="O58" s="17"/>
      <c r="P58" s="6"/>
      <c r="R58" s="7"/>
    </row>
    <row r="59" spans="2:33" ht="12.75" customHeight="1" x14ac:dyDescent="0.2">
      <c r="B59" s="16"/>
      <c r="C59" s="283"/>
      <c r="D59" s="33"/>
      <c r="E59" s="234" t="s">
        <v>6</v>
      </c>
      <c r="F59" s="234"/>
      <c r="G59" s="4"/>
      <c r="H59" s="139">
        <v>15</v>
      </c>
      <c r="I59" s="37"/>
      <c r="J59" s="54"/>
      <c r="K59" s="38"/>
      <c r="L59" s="4"/>
      <c r="M59" s="4"/>
      <c r="N59" s="4"/>
      <c r="O59" s="17"/>
      <c r="P59" s="6"/>
      <c r="R59" s="7"/>
    </row>
    <row r="60" spans="2:33" ht="12.75" customHeight="1" x14ac:dyDescent="0.2">
      <c r="B60" s="16"/>
      <c r="C60" s="283"/>
      <c r="D60" s="33"/>
      <c r="E60" s="234" t="s">
        <v>7</v>
      </c>
      <c r="F60" s="234"/>
      <c r="G60" s="4"/>
      <c r="H60" s="139">
        <v>0</v>
      </c>
      <c r="I60" s="37"/>
      <c r="J60" s="54"/>
      <c r="K60" s="38"/>
      <c r="L60" s="4"/>
      <c r="M60" s="4"/>
      <c r="N60" s="4"/>
      <c r="O60" s="17"/>
      <c r="P60" s="6"/>
      <c r="R60" s="7"/>
    </row>
    <row r="61" spans="2:33" ht="12.75" customHeight="1" x14ac:dyDescent="0.2">
      <c r="B61" s="16"/>
      <c r="C61" s="283"/>
      <c r="D61" s="33"/>
      <c r="E61" s="234" t="s">
        <v>34</v>
      </c>
      <c r="F61" s="234"/>
      <c r="G61" s="4"/>
      <c r="H61" s="160">
        <v>7.0000000000000007E-2</v>
      </c>
      <c r="I61" s="37"/>
      <c r="J61" s="54"/>
      <c r="K61" s="38"/>
      <c r="L61" s="4"/>
      <c r="M61" s="4"/>
      <c r="N61" s="4"/>
      <c r="O61" s="17"/>
      <c r="P61" s="6"/>
      <c r="R61" s="7"/>
    </row>
    <row r="62" spans="2:33" ht="12.75" customHeight="1" x14ac:dyDescent="0.2">
      <c r="B62" s="16"/>
      <c r="C62" s="130" t="s">
        <v>14</v>
      </c>
      <c r="D62" s="33"/>
      <c r="E62" s="254" t="s">
        <v>36</v>
      </c>
      <c r="F62" s="255"/>
      <c r="G62" s="124"/>
      <c r="H62" s="161">
        <f>0.04</f>
        <v>0.04</v>
      </c>
      <c r="I62" s="37"/>
      <c r="J62" s="54"/>
      <c r="K62" s="38"/>
      <c r="L62" s="4"/>
      <c r="M62" s="4"/>
      <c r="N62" s="4"/>
      <c r="O62" s="17"/>
    </row>
    <row r="63" spans="2:33" ht="12.75" customHeight="1" x14ac:dyDescent="0.2">
      <c r="B63" s="16"/>
      <c r="C63" s="130" t="s">
        <v>20</v>
      </c>
      <c r="D63" s="33"/>
      <c r="E63" s="256"/>
      <c r="F63" s="257"/>
      <c r="G63" s="125"/>
      <c r="H63" s="161">
        <v>0.04</v>
      </c>
      <c r="I63" s="39"/>
      <c r="J63" s="55"/>
      <c r="K63" s="40"/>
      <c r="L63" s="4"/>
      <c r="M63" s="4"/>
      <c r="N63" s="4"/>
      <c r="O63" s="17"/>
    </row>
    <row r="64" spans="2:33" ht="12.75" customHeight="1" x14ac:dyDescent="0.2">
      <c r="B64" s="16"/>
      <c r="C64" s="258"/>
      <c r="D64" s="259"/>
      <c r="E64" s="259"/>
      <c r="F64" s="259"/>
      <c r="G64" s="259"/>
      <c r="H64" s="259"/>
      <c r="I64" s="259"/>
      <c r="J64" s="259"/>
      <c r="K64" s="260"/>
      <c r="L64" s="4"/>
      <c r="M64" s="4"/>
      <c r="N64" s="4"/>
      <c r="O64" s="17"/>
    </row>
    <row r="65" spans="2:18" ht="12.75" customHeight="1" x14ac:dyDescent="0.2">
      <c r="B65" s="16"/>
      <c r="C65" s="262" t="s">
        <v>37</v>
      </c>
      <c r="D65" s="33"/>
      <c r="E65" s="231" t="s">
        <v>50</v>
      </c>
      <c r="F65" s="232"/>
      <c r="G65" s="232"/>
      <c r="H65" s="233"/>
      <c r="I65" s="160">
        <v>0.75</v>
      </c>
      <c r="J65" s="271" t="s">
        <v>122</v>
      </c>
      <c r="K65" s="272"/>
      <c r="L65" s="4"/>
      <c r="M65" s="4"/>
      <c r="N65" s="4"/>
      <c r="O65" s="17"/>
    </row>
    <row r="66" spans="2:18" ht="12.75" customHeight="1" x14ac:dyDescent="0.2">
      <c r="B66" s="16"/>
      <c r="C66" s="263"/>
      <c r="D66" s="33"/>
      <c r="E66" s="231" t="s">
        <v>43</v>
      </c>
      <c r="F66" s="232"/>
      <c r="G66" s="232"/>
      <c r="H66" s="233"/>
      <c r="I66" s="162">
        <f>100%-I65</f>
        <v>0.25</v>
      </c>
      <c r="J66" s="273"/>
      <c r="K66" s="274"/>
      <c r="L66" s="4"/>
      <c r="M66" s="4"/>
      <c r="N66" s="4"/>
      <c r="O66" s="17"/>
    </row>
    <row r="67" spans="2:18" ht="12.75" customHeight="1" x14ac:dyDescent="0.2">
      <c r="B67" s="16"/>
      <c r="C67" s="263"/>
      <c r="D67" s="33"/>
      <c r="E67" s="231" t="s">
        <v>39</v>
      </c>
      <c r="F67" s="232"/>
      <c r="G67" s="232"/>
      <c r="H67" s="233"/>
      <c r="I67" s="139">
        <v>10</v>
      </c>
      <c r="J67" s="275"/>
      <c r="K67" s="276"/>
      <c r="L67" s="4"/>
      <c r="M67" s="4"/>
      <c r="N67" s="4"/>
      <c r="O67" s="17"/>
    </row>
    <row r="68" spans="2:18" ht="12.75" customHeight="1" x14ac:dyDescent="0.2">
      <c r="B68" s="16"/>
      <c r="C68" s="264"/>
      <c r="D68" s="33"/>
      <c r="E68" s="265" t="str">
        <f>Sheet1!H84</f>
        <v>Desired minimum IRR for the ESCO</v>
      </c>
      <c r="F68" s="266"/>
      <c r="G68" s="266"/>
      <c r="H68" s="267"/>
      <c r="I68" s="163">
        <v>0.08</v>
      </c>
      <c r="J68" s="55"/>
      <c r="K68" s="40"/>
      <c r="L68" s="4"/>
      <c r="M68" s="4"/>
      <c r="N68" s="4"/>
      <c r="O68" s="17"/>
    </row>
    <row r="69" spans="2:18" ht="10.5" customHeight="1" x14ac:dyDescent="0.2">
      <c r="B69" s="16"/>
      <c r="C69" s="253"/>
      <c r="D69" s="253"/>
      <c r="E69" s="253"/>
      <c r="F69" s="253"/>
      <c r="G69" s="253"/>
      <c r="H69" s="253"/>
      <c r="I69" s="253"/>
      <c r="J69" s="253"/>
      <c r="K69" s="253"/>
      <c r="L69" s="4"/>
      <c r="M69" s="4"/>
      <c r="N69" s="4"/>
      <c r="O69" s="17"/>
      <c r="P69" s="6"/>
      <c r="R69" s="7"/>
    </row>
    <row r="70" spans="2:18" ht="5.25" customHeight="1" x14ac:dyDescent="0.2">
      <c r="B70" s="16"/>
      <c r="C70" s="253"/>
      <c r="D70" s="253"/>
      <c r="E70" s="253"/>
      <c r="F70" s="253"/>
      <c r="G70" s="253"/>
      <c r="H70" s="253"/>
      <c r="I70" s="253"/>
      <c r="J70" s="253"/>
      <c r="K70" s="253"/>
      <c r="L70" s="4"/>
      <c r="M70" s="4"/>
      <c r="N70" s="4"/>
      <c r="O70" s="17"/>
    </row>
    <row r="71" spans="2:18" ht="10.5" customHeight="1" x14ac:dyDescent="0.2">
      <c r="B71" s="16"/>
      <c r="C71" s="11"/>
      <c r="D71" s="11"/>
      <c r="E71" s="11"/>
      <c r="F71" s="11"/>
      <c r="G71" s="11"/>
      <c r="H71" s="11"/>
      <c r="I71" s="11"/>
      <c r="J71" s="11"/>
      <c r="K71" s="11"/>
      <c r="L71" s="4"/>
      <c r="M71" s="4"/>
      <c r="N71" s="4"/>
      <c r="O71" s="17"/>
    </row>
    <row r="72" spans="2:18" ht="10.5" hidden="1" customHeight="1" x14ac:dyDescent="0.2">
      <c r="B72" s="16"/>
      <c r="C72" s="4"/>
      <c r="D72" s="4"/>
      <c r="E72" s="4"/>
      <c r="F72" s="4"/>
      <c r="G72" s="4"/>
      <c r="H72" s="4"/>
      <c r="I72" s="4"/>
      <c r="J72" s="4"/>
      <c r="K72" s="4"/>
      <c r="L72" s="4"/>
      <c r="M72" s="4"/>
      <c r="N72" s="4"/>
      <c r="O72" s="17"/>
    </row>
    <row r="73" spans="2:18" ht="10.5" hidden="1" customHeight="1" x14ac:dyDescent="0.2">
      <c r="B73" s="16"/>
      <c r="C73" s="4"/>
      <c r="D73" s="4"/>
      <c r="E73" s="4"/>
      <c r="F73" s="4"/>
      <c r="G73" s="4"/>
      <c r="H73" s="4"/>
      <c r="I73" s="4"/>
      <c r="J73" s="4"/>
      <c r="K73" s="4"/>
      <c r="L73" s="4"/>
      <c r="M73" s="4"/>
      <c r="N73" s="4"/>
      <c r="O73" s="17"/>
    </row>
    <row r="74" spans="2:18" ht="63" hidden="1" customHeight="1" x14ac:dyDescent="0.2">
      <c r="B74" s="16"/>
      <c r="C74" s="4"/>
      <c r="D74" s="4"/>
      <c r="E74" s="4"/>
      <c r="F74" s="4"/>
      <c r="G74" s="4"/>
      <c r="H74" s="4"/>
      <c r="I74" s="4"/>
      <c r="J74" s="4"/>
      <c r="K74" s="4"/>
      <c r="L74" s="4"/>
      <c r="M74" s="4"/>
      <c r="N74" s="4"/>
      <c r="O74" s="17"/>
    </row>
    <row r="75" spans="2:18" ht="10.5" hidden="1" customHeight="1" x14ac:dyDescent="0.2">
      <c r="B75" s="16"/>
      <c r="C75" s="4"/>
      <c r="D75" s="4"/>
      <c r="E75" s="4"/>
      <c r="F75" s="4"/>
      <c r="G75" s="4"/>
      <c r="H75" s="4"/>
      <c r="I75" s="4"/>
      <c r="J75" s="4"/>
      <c r="K75" s="4"/>
      <c r="L75" s="4"/>
      <c r="M75" s="4"/>
      <c r="N75" s="4"/>
      <c r="O75" s="17"/>
    </row>
    <row r="76" spans="2:18" ht="10.5" hidden="1" customHeight="1" x14ac:dyDescent="0.2">
      <c r="B76" s="16"/>
      <c r="C76" s="4"/>
      <c r="D76" s="4"/>
      <c r="E76" s="4"/>
      <c r="F76" s="4"/>
      <c r="G76" s="4"/>
      <c r="H76" s="4"/>
      <c r="I76" s="4"/>
      <c r="J76" s="4"/>
      <c r="K76" s="4"/>
      <c r="L76" s="4"/>
      <c r="M76" s="4"/>
      <c r="N76" s="4"/>
      <c r="O76" s="17"/>
    </row>
    <row r="77" spans="2:18" ht="10.5" hidden="1" customHeight="1" x14ac:dyDescent="0.2">
      <c r="B77" s="16"/>
      <c r="C77" s="4"/>
      <c r="D77" s="4"/>
      <c r="E77" s="4"/>
      <c r="F77" s="4"/>
      <c r="G77" s="4"/>
      <c r="H77" s="4"/>
      <c r="I77" s="4"/>
      <c r="J77" s="4"/>
      <c r="K77" s="4"/>
      <c r="L77" s="4"/>
      <c r="M77" s="4"/>
      <c r="N77" s="4"/>
      <c r="O77" s="17"/>
    </row>
    <row r="78" spans="2:18" ht="10.5" hidden="1" customHeight="1" x14ac:dyDescent="0.2">
      <c r="B78" s="16"/>
      <c r="C78" s="4"/>
      <c r="D78" s="4"/>
      <c r="E78" s="4"/>
      <c r="F78" s="4"/>
      <c r="G78" s="4"/>
      <c r="H78" s="4"/>
      <c r="I78" s="4"/>
      <c r="J78" s="4"/>
      <c r="K78" s="4"/>
      <c r="L78" s="4"/>
      <c r="M78" s="4"/>
      <c r="N78" s="4"/>
      <c r="O78" s="17"/>
    </row>
    <row r="79" spans="2:18" ht="10.5" hidden="1" customHeight="1" x14ac:dyDescent="0.2">
      <c r="B79" s="16"/>
      <c r="C79" s="4"/>
      <c r="D79" s="4"/>
      <c r="E79" s="4"/>
      <c r="F79" s="4"/>
      <c r="G79" s="4"/>
      <c r="H79" s="4"/>
      <c r="I79" s="4"/>
      <c r="J79" s="4"/>
      <c r="K79" s="4"/>
      <c r="L79" s="4"/>
      <c r="M79" s="4"/>
      <c r="N79" s="4"/>
      <c r="O79" s="17"/>
    </row>
    <row r="80" spans="2:18" ht="10.5" hidden="1" customHeight="1" x14ac:dyDescent="0.2">
      <c r="B80" s="16"/>
      <c r="C80" s="4"/>
      <c r="D80" s="4"/>
      <c r="E80" s="4"/>
      <c r="F80" s="4"/>
      <c r="G80" s="4"/>
      <c r="H80" s="4"/>
      <c r="I80" s="4"/>
      <c r="J80" s="4"/>
      <c r="K80" s="4"/>
      <c r="L80" s="4"/>
      <c r="M80" s="4"/>
      <c r="N80" s="4"/>
      <c r="O80" s="17"/>
    </row>
    <row r="81" spans="2:15" ht="10.5" hidden="1" customHeight="1" x14ac:dyDescent="0.2">
      <c r="B81" s="16"/>
      <c r="C81" s="4"/>
      <c r="D81" s="4"/>
      <c r="E81" s="4"/>
      <c r="F81" s="4"/>
      <c r="G81" s="4"/>
      <c r="H81" s="4"/>
      <c r="I81" s="4"/>
      <c r="J81" s="4"/>
      <c r="K81" s="4"/>
      <c r="L81" s="4"/>
      <c r="M81" s="4"/>
      <c r="N81" s="4"/>
      <c r="O81" s="17"/>
    </row>
    <row r="82" spans="2:15" ht="10.5" hidden="1" customHeight="1" x14ac:dyDescent="0.2">
      <c r="B82" s="16"/>
      <c r="C82" s="4"/>
      <c r="D82" s="4"/>
      <c r="E82" s="4"/>
      <c r="F82" s="4"/>
      <c r="G82" s="4"/>
      <c r="H82" s="4"/>
      <c r="I82" s="4"/>
      <c r="J82" s="4"/>
      <c r="K82" s="4"/>
      <c r="L82" s="4"/>
      <c r="M82" s="4"/>
      <c r="N82" s="4"/>
      <c r="O82" s="17"/>
    </row>
    <row r="83" spans="2:15" ht="10.5" hidden="1" customHeight="1" x14ac:dyDescent="0.2">
      <c r="B83" s="16"/>
      <c r="C83" s="4"/>
      <c r="D83" s="4"/>
      <c r="E83" s="4"/>
      <c r="F83" s="4"/>
      <c r="G83" s="4"/>
      <c r="H83" s="4"/>
      <c r="I83" s="4"/>
      <c r="J83" s="4"/>
      <c r="K83" s="4"/>
      <c r="L83" s="4"/>
      <c r="M83" s="4"/>
      <c r="N83" s="4"/>
      <c r="O83" s="17"/>
    </row>
    <row r="84" spans="2:15" ht="10.5" hidden="1" customHeight="1" x14ac:dyDescent="0.2">
      <c r="B84" s="16"/>
      <c r="C84" s="4"/>
      <c r="D84" s="4"/>
      <c r="E84" s="4"/>
      <c r="F84" s="4"/>
      <c r="G84" s="4"/>
      <c r="H84" s="4"/>
      <c r="I84" s="4"/>
      <c r="J84" s="4"/>
      <c r="K84" s="4"/>
      <c r="L84" s="4"/>
      <c r="M84" s="4"/>
      <c r="N84" s="4"/>
      <c r="O84" s="17"/>
    </row>
    <row r="85" spans="2:15" ht="10.5" hidden="1" customHeight="1" x14ac:dyDescent="0.2">
      <c r="B85" s="16"/>
      <c r="C85" s="4"/>
      <c r="D85" s="4"/>
      <c r="E85" s="4"/>
      <c r="F85" s="4"/>
      <c r="G85" s="4"/>
      <c r="H85" s="4"/>
      <c r="I85" s="4"/>
      <c r="J85" s="4"/>
      <c r="K85" s="4"/>
      <c r="L85" s="4"/>
      <c r="M85" s="4"/>
      <c r="N85" s="4"/>
      <c r="O85" s="17"/>
    </row>
    <row r="86" spans="2:15" ht="10.5" hidden="1" customHeight="1" x14ac:dyDescent="0.2">
      <c r="B86" s="16"/>
      <c r="C86" s="4"/>
      <c r="D86" s="4"/>
      <c r="E86" s="4"/>
      <c r="F86" s="4"/>
      <c r="G86" s="4"/>
      <c r="H86" s="4"/>
      <c r="I86" s="4"/>
      <c r="J86" s="4"/>
      <c r="K86" s="4"/>
      <c r="L86" s="4"/>
      <c r="M86" s="4"/>
      <c r="N86" s="4"/>
      <c r="O86" s="17"/>
    </row>
    <row r="87" spans="2:15" ht="10.5" hidden="1" customHeight="1" x14ac:dyDescent="0.2">
      <c r="B87" s="16"/>
      <c r="C87" s="4"/>
      <c r="D87" s="4"/>
      <c r="E87" s="4"/>
      <c r="F87" s="4"/>
      <c r="G87" s="4"/>
      <c r="H87" s="4"/>
      <c r="I87" s="4"/>
      <c r="J87" s="4"/>
      <c r="K87" s="4"/>
      <c r="L87" s="4"/>
      <c r="M87" s="4"/>
      <c r="N87" s="4"/>
      <c r="O87" s="17"/>
    </row>
    <row r="88" spans="2:15" ht="10.5" hidden="1" customHeight="1" x14ac:dyDescent="0.2">
      <c r="B88" s="16"/>
      <c r="C88" s="4"/>
      <c r="D88" s="4"/>
      <c r="E88" s="4"/>
      <c r="F88" s="4"/>
      <c r="G88" s="4"/>
      <c r="H88" s="4"/>
      <c r="I88" s="4"/>
      <c r="J88" s="4"/>
      <c r="K88" s="4"/>
      <c r="L88" s="4"/>
      <c r="M88" s="4"/>
      <c r="N88" s="4"/>
      <c r="O88" s="17"/>
    </row>
    <row r="89" spans="2:15" ht="10.5" hidden="1" customHeight="1" x14ac:dyDescent="0.2">
      <c r="B89" s="16"/>
      <c r="C89" s="4"/>
      <c r="D89" s="4"/>
      <c r="E89" s="4"/>
      <c r="F89" s="4"/>
      <c r="G89" s="4"/>
      <c r="H89" s="4"/>
      <c r="I89" s="4"/>
      <c r="J89" s="4"/>
      <c r="K89" s="4"/>
      <c r="L89" s="4"/>
      <c r="M89" s="4"/>
      <c r="N89" s="4"/>
      <c r="O89" s="17"/>
    </row>
    <row r="90" spans="2:15" ht="10.5" hidden="1" customHeight="1" x14ac:dyDescent="0.2">
      <c r="B90" s="16"/>
      <c r="C90" s="4"/>
      <c r="D90" s="4"/>
      <c r="E90" s="4"/>
      <c r="F90" s="4"/>
      <c r="G90" s="4"/>
      <c r="H90" s="4"/>
      <c r="I90" s="4"/>
      <c r="J90" s="4"/>
      <c r="K90" s="4"/>
      <c r="L90" s="4"/>
      <c r="M90" s="4"/>
      <c r="N90" s="4"/>
      <c r="O90" s="17"/>
    </row>
    <row r="91" spans="2:15" ht="10.5" hidden="1" customHeight="1" x14ac:dyDescent="0.2">
      <c r="B91" s="16"/>
      <c r="C91" s="4"/>
      <c r="D91" s="4"/>
      <c r="E91" s="4"/>
      <c r="F91" s="4"/>
      <c r="G91" s="4"/>
      <c r="H91" s="4"/>
      <c r="I91" s="4"/>
      <c r="J91" s="4"/>
      <c r="K91" s="4"/>
      <c r="L91" s="4"/>
      <c r="M91" s="4"/>
      <c r="N91" s="4"/>
      <c r="O91" s="17"/>
    </row>
    <row r="92" spans="2:15" ht="10.5" hidden="1" customHeight="1" x14ac:dyDescent="0.2">
      <c r="B92" s="16"/>
      <c r="C92" s="4"/>
      <c r="D92" s="4"/>
      <c r="E92" s="4"/>
      <c r="F92" s="4"/>
      <c r="G92" s="4"/>
      <c r="H92" s="4"/>
      <c r="I92" s="4"/>
      <c r="J92" s="4"/>
      <c r="K92" s="4"/>
      <c r="L92" s="4"/>
      <c r="M92" s="4"/>
      <c r="N92" s="4"/>
      <c r="O92" s="17"/>
    </row>
    <row r="93" spans="2:15" ht="10.5" hidden="1" customHeight="1" x14ac:dyDescent="0.2">
      <c r="B93" s="16"/>
      <c r="C93" s="4"/>
      <c r="D93" s="4"/>
      <c r="E93" s="4"/>
      <c r="F93" s="4"/>
      <c r="G93" s="4"/>
      <c r="H93" s="4"/>
      <c r="I93" s="4"/>
      <c r="J93" s="4"/>
      <c r="K93" s="4"/>
      <c r="L93" s="4"/>
      <c r="M93" s="4"/>
      <c r="N93" s="4"/>
      <c r="O93" s="17"/>
    </row>
    <row r="94" spans="2:15" ht="10.5" hidden="1" customHeight="1" x14ac:dyDescent="0.2">
      <c r="B94" s="16"/>
      <c r="C94" s="4"/>
      <c r="D94" s="4"/>
      <c r="E94" s="4"/>
      <c r="F94" s="4"/>
      <c r="G94" s="4"/>
      <c r="H94" s="4"/>
      <c r="I94" s="4"/>
      <c r="J94" s="4"/>
      <c r="K94" s="4"/>
      <c r="L94" s="4"/>
      <c r="M94" s="4"/>
      <c r="N94" s="4"/>
      <c r="O94" s="17"/>
    </row>
    <row r="95" spans="2:15" ht="10.5" hidden="1" customHeight="1" x14ac:dyDescent="0.2">
      <c r="B95" s="16"/>
      <c r="C95" s="4"/>
      <c r="D95" s="4"/>
      <c r="E95" s="4"/>
      <c r="F95" s="4"/>
      <c r="G95" s="4"/>
      <c r="H95" s="4"/>
      <c r="I95" s="4"/>
      <c r="J95" s="4"/>
      <c r="K95" s="4"/>
      <c r="L95" s="4"/>
      <c r="M95" s="4"/>
      <c r="N95" s="4"/>
      <c r="O95" s="17"/>
    </row>
    <row r="96" spans="2:15" ht="10.5" hidden="1" customHeight="1" x14ac:dyDescent="0.2">
      <c r="B96" s="16"/>
      <c r="C96" s="4"/>
      <c r="D96" s="4"/>
      <c r="E96" s="4"/>
      <c r="F96" s="4"/>
      <c r="G96" s="4"/>
      <c r="H96" s="4"/>
      <c r="I96" s="4"/>
      <c r="J96" s="4"/>
      <c r="K96" s="4"/>
      <c r="L96" s="4"/>
      <c r="M96" s="4"/>
      <c r="N96" s="4"/>
      <c r="O96" s="17"/>
    </row>
    <row r="97" spans="2:15" ht="10.5" hidden="1" customHeight="1" x14ac:dyDescent="0.2">
      <c r="B97" s="16"/>
      <c r="C97" s="4"/>
      <c r="D97" s="4"/>
      <c r="E97" s="4"/>
      <c r="F97" s="4"/>
      <c r="G97" s="4"/>
      <c r="H97" s="4"/>
      <c r="I97" s="4"/>
      <c r="J97" s="4"/>
      <c r="K97" s="4"/>
      <c r="L97" s="4"/>
      <c r="M97" s="4"/>
      <c r="N97" s="4"/>
      <c r="O97" s="17"/>
    </row>
    <row r="98" spans="2:15" ht="10.5" hidden="1" customHeight="1" x14ac:dyDescent="0.2">
      <c r="B98" s="16"/>
      <c r="C98" s="4"/>
      <c r="D98" s="4"/>
      <c r="E98" s="4"/>
      <c r="F98" s="4"/>
      <c r="G98" s="4"/>
      <c r="H98" s="4"/>
      <c r="I98" s="4"/>
      <c r="J98" s="4"/>
      <c r="K98" s="4"/>
      <c r="L98" s="4"/>
      <c r="M98" s="4"/>
      <c r="N98" s="4"/>
      <c r="O98" s="17"/>
    </row>
    <row r="99" spans="2:15" ht="10.5" hidden="1" customHeight="1" x14ac:dyDescent="0.2">
      <c r="B99" s="16"/>
      <c r="C99" s="4"/>
      <c r="D99" s="4"/>
      <c r="E99" s="4"/>
      <c r="F99" s="4"/>
      <c r="G99" s="4"/>
      <c r="H99" s="4"/>
      <c r="I99" s="4"/>
      <c r="J99" s="4"/>
      <c r="K99" s="4"/>
      <c r="L99" s="4"/>
      <c r="M99" s="4"/>
      <c r="N99" s="4"/>
      <c r="O99" s="17"/>
    </row>
    <row r="100" spans="2:15" ht="10.5" hidden="1" customHeight="1" x14ac:dyDescent="0.2">
      <c r="B100" s="16"/>
      <c r="C100" s="4"/>
      <c r="D100" s="4"/>
      <c r="E100" s="4"/>
      <c r="F100" s="4"/>
      <c r="G100" s="4"/>
      <c r="H100" s="4"/>
      <c r="I100" s="4"/>
      <c r="J100" s="4"/>
      <c r="K100" s="4"/>
      <c r="L100" s="4"/>
      <c r="M100" s="4"/>
      <c r="N100" s="4"/>
      <c r="O100" s="17"/>
    </row>
    <row r="101" spans="2:15" ht="10.5" hidden="1" customHeight="1" x14ac:dyDescent="0.2">
      <c r="B101" s="16"/>
      <c r="C101" s="4"/>
      <c r="D101" s="4"/>
      <c r="E101" s="4"/>
      <c r="F101" s="4"/>
      <c r="G101" s="4"/>
      <c r="H101" s="4"/>
      <c r="I101" s="4"/>
      <c r="J101" s="4"/>
      <c r="K101" s="4"/>
      <c r="L101" s="4"/>
      <c r="M101" s="4"/>
      <c r="N101" s="4"/>
      <c r="O101" s="17"/>
    </row>
    <row r="102" spans="2:15" ht="10.5" hidden="1" customHeight="1" x14ac:dyDescent="0.2">
      <c r="B102" s="16"/>
      <c r="C102" s="4"/>
      <c r="D102" s="4"/>
      <c r="E102" s="4"/>
      <c r="F102" s="4"/>
      <c r="G102" s="4"/>
      <c r="H102" s="4"/>
      <c r="I102" s="4"/>
      <c r="J102" s="4"/>
      <c r="K102" s="4"/>
      <c r="L102" s="4"/>
      <c r="M102" s="4"/>
      <c r="N102" s="4"/>
      <c r="O102" s="17"/>
    </row>
    <row r="103" spans="2:15" ht="10.5" hidden="1" customHeight="1" x14ac:dyDescent="0.2">
      <c r="B103" s="16"/>
      <c r="C103" s="4"/>
      <c r="D103" s="4"/>
      <c r="E103" s="4"/>
      <c r="F103" s="4"/>
      <c r="G103" s="4"/>
      <c r="H103" s="4"/>
      <c r="I103" s="4"/>
      <c r="J103" s="4"/>
      <c r="K103" s="4"/>
      <c r="L103" s="4"/>
      <c r="M103" s="4"/>
      <c r="N103" s="4"/>
      <c r="O103" s="17"/>
    </row>
    <row r="104" spans="2:15" ht="10.5" hidden="1" customHeight="1" x14ac:dyDescent="0.2">
      <c r="B104" s="16"/>
      <c r="C104" s="4"/>
      <c r="D104" s="4"/>
      <c r="E104" s="4"/>
      <c r="F104" s="4"/>
      <c r="G104" s="4"/>
      <c r="H104" s="4"/>
      <c r="I104" s="4"/>
      <c r="J104" s="4"/>
      <c r="K104" s="4"/>
      <c r="L104" s="4"/>
      <c r="M104" s="4"/>
      <c r="N104" s="4"/>
      <c r="O104" s="17"/>
    </row>
    <row r="105" spans="2:15" ht="10.5" hidden="1" customHeight="1" x14ac:dyDescent="0.2">
      <c r="B105" s="16"/>
      <c r="C105" s="4"/>
      <c r="D105" s="4"/>
      <c r="E105" s="4"/>
      <c r="F105" s="4"/>
      <c r="G105" s="4"/>
      <c r="H105" s="4"/>
      <c r="I105" s="4"/>
      <c r="J105" s="4"/>
      <c r="K105" s="4"/>
      <c r="L105" s="4"/>
      <c r="M105" s="4"/>
      <c r="N105" s="4"/>
      <c r="O105" s="17"/>
    </row>
    <row r="106" spans="2:15" ht="10.5" hidden="1" customHeight="1" x14ac:dyDescent="0.2">
      <c r="B106" s="16"/>
      <c r="C106" s="4"/>
      <c r="D106" s="4"/>
      <c r="E106" s="4"/>
      <c r="F106" s="4"/>
      <c r="G106" s="4"/>
      <c r="H106" s="4"/>
      <c r="I106" s="4"/>
      <c r="J106" s="4"/>
      <c r="K106" s="4"/>
      <c r="L106" s="4"/>
      <c r="M106" s="4"/>
      <c r="N106" s="4"/>
      <c r="O106" s="17"/>
    </row>
    <row r="107" spans="2:15" ht="10.5" hidden="1" customHeight="1" x14ac:dyDescent="0.2">
      <c r="B107" s="16"/>
      <c r="C107" s="4"/>
      <c r="D107" s="4"/>
      <c r="E107" s="4"/>
      <c r="F107" s="4"/>
      <c r="G107" s="4"/>
      <c r="H107" s="4"/>
      <c r="I107" s="4"/>
      <c r="J107" s="4"/>
      <c r="K107" s="4"/>
      <c r="L107" s="4"/>
      <c r="M107" s="4"/>
      <c r="N107" s="4"/>
      <c r="O107" s="17"/>
    </row>
    <row r="108" spans="2:15" ht="10.5" hidden="1" customHeight="1" x14ac:dyDescent="0.2">
      <c r="B108" s="16"/>
      <c r="C108" s="4"/>
      <c r="D108" s="4"/>
      <c r="E108" s="4"/>
      <c r="F108" s="4"/>
      <c r="G108" s="4"/>
      <c r="H108" s="4"/>
      <c r="I108" s="4"/>
      <c r="J108" s="4"/>
      <c r="K108" s="4"/>
      <c r="L108" s="4"/>
      <c r="M108" s="4"/>
      <c r="N108" s="4"/>
      <c r="O108" s="17"/>
    </row>
    <row r="109" spans="2:15" ht="10.5" hidden="1" customHeight="1" x14ac:dyDescent="0.2">
      <c r="B109" s="16"/>
      <c r="C109" s="4"/>
      <c r="D109" s="4"/>
      <c r="E109" s="4"/>
      <c r="F109" s="4"/>
      <c r="G109" s="4"/>
      <c r="H109" s="4"/>
      <c r="I109" s="4"/>
      <c r="J109" s="4"/>
      <c r="K109" s="4"/>
      <c r="L109" s="4"/>
      <c r="M109" s="4"/>
      <c r="N109" s="4"/>
      <c r="O109" s="17"/>
    </row>
    <row r="110" spans="2:15" ht="10.5" hidden="1" customHeight="1" x14ac:dyDescent="0.2">
      <c r="B110" s="16"/>
      <c r="C110" s="4"/>
      <c r="D110" s="4"/>
      <c r="E110" s="4"/>
      <c r="F110" s="4"/>
      <c r="G110" s="4"/>
      <c r="H110" s="4"/>
      <c r="I110" s="4"/>
      <c r="J110" s="4"/>
      <c r="K110" s="4"/>
      <c r="L110" s="4"/>
      <c r="M110" s="4"/>
      <c r="N110" s="4"/>
      <c r="O110" s="17"/>
    </row>
    <row r="111" spans="2:15" ht="10.5" hidden="1" customHeight="1" x14ac:dyDescent="0.2">
      <c r="B111" s="16"/>
      <c r="C111" s="4"/>
      <c r="D111" s="4"/>
      <c r="E111" s="4"/>
      <c r="F111" s="4"/>
      <c r="G111" s="4"/>
      <c r="H111" s="4"/>
      <c r="I111" s="4"/>
      <c r="J111" s="4"/>
      <c r="K111" s="4"/>
      <c r="L111" s="4"/>
      <c r="M111" s="4"/>
      <c r="N111" s="4"/>
      <c r="O111" s="17"/>
    </row>
    <row r="112" spans="2:15" ht="10.5" hidden="1" customHeight="1" x14ac:dyDescent="0.2">
      <c r="B112" s="16"/>
      <c r="C112" s="4"/>
      <c r="D112" s="4"/>
      <c r="E112" s="4"/>
      <c r="F112" s="4"/>
      <c r="G112" s="4"/>
      <c r="H112" s="4"/>
      <c r="I112" s="4"/>
      <c r="J112" s="4"/>
      <c r="K112" s="4"/>
      <c r="L112" s="4"/>
      <c r="M112" s="4"/>
      <c r="N112" s="4"/>
      <c r="O112" s="17"/>
    </row>
    <row r="113" spans="2:17" ht="12.75" hidden="1" customHeight="1" x14ac:dyDescent="0.2">
      <c r="B113" s="16"/>
      <c r="C113" s="4"/>
      <c r="D113" s="4"/>
      <c r="E113" s="4"/>
      <c r="F113" s="4"/>
      <c r="G113" s="4"/>
      <c r="H113" s="4"/>
      <c r="I113" s="4"/>
      <c r="J113" s="4"/>
      <c r="K113" s="4"/>
      <c r="L113" s="4"/>
      <c r="M113" s="4"/>
      <c r="N113" s="4"/>
      <c r="O113" s="17"/>
    </row>
    <row r="114" spans="2:17" s="8" customFormat="1" hidden="1" x14ac:dyDescent="0.2">
      <c r="B114" s="136"/>
      <c r="C114" s="65"/>
      <c r="D114" s="65"/>
      <c r="E114" s="65"/>
      <c r="F114" s="65"/>
      <c r="G114" s="65"/>
      <c r="H114" s="65"/>
      <c r="I114" s="65"/>
      <c r="J114" s="65"/>
      <c r="K114" s="65"/>
      <c r="L114" s="65"/>
      <c r="M114" s="65"/>
      <c r="N114" s="65"/>
      <c r="O114" s="15"/>
    </row>
    <row r="115" spans="2:17" hidden="1" x14ac:dyDescent="0.2">
      <c r="B115" s="16"/>
      <c r="C115" s="4"/>
      <c r="D115" s="4"/>
      <c r="E115" s="4"/>
      <c r="F115" s="4"/>
      <c r="G115" s="4"/>
      <c r="H115" s="4"/>
      <c r="I115" s="4"/>
      <c r="J115" s="4"/>
      <c r="K115" s="4"/>
      <c r="L115" s="4"/>
      <c r="M115" s="4"/>
      <c r="N115" s="4"/>
      <c r="O115" s="17"/>
    </row>
    <row r="116" spans="2:17" ht="12.75" hidden="1" customHeight="1" x14ac:dyDescent="0.2">
      <c r="B116" s="16"/>
      <c r="C116" s="4"/>
      <c r="D116" s="4"/>
      <c r="E116" s="4"/>
      <c r="F116" s="4"/>
      <c r="G116" s="4"/>
      <c r="H116" s="4"/>
      <c r="I116" s="4"/>
      <c r="J116" s="4"/>
      <c r="K116" s="4"/>
      <c r="L116" s="4"/>
      <c r="M116" s="4"/>
      <c r="N116" s="4"/>
      <c r="O116" s="17"/>
    </row>
    <row r="117" spans="2:17" ht="12.75" hidden="1" customHeight="1" x14ac:dyDescent="0.2">
      <c r="B117" s="16"/>
      <c r="C117" s="4"/>
      <c r="D117" s="4"/>
      <c r="E117" s="4"/>
      <c r="F117" s="4"/>
      <c r="G117" s="4"/>
      <c r="H117" s="4"/>
      <c r="I117" s="4"/>
      <c r="J117" s="4"/>
      <c r="K117" s="4"/>
      <c r="L117" s="4"/>
      <c r="M117" s="4"/>
      <c r="N117" s="4"/>
      <c r="O117" s="17"/>
    </row>
    <row r="118" spans="2:17" ht="12.75" hidden="1" customHeight="1" x14ac:dyDescent="0.2">
      <c r="B118" s="16"/>
      <c r="C118" s="4"/>
      <c r="D118" s="4"/>
      <c r="E118" s="4"/>
      <c r="F118" s="4"/>
      <c r="G118" s="4"/>
      <c r="H118" s="4"/>
      <c r="I118" s="4"/>
      <c r="J118" s="4"/>
      <c r="K118" s="4"/>
      <c r="L118" s="4"/>
      <c r="M118" s="4"/>
      <c r="N118" s="4"/>
      <c r="O118" s="17"/>
    </row>
    <row r="119" spans="2:17" ht="12.75" hidden="1" customHeight="1" x14ac:dyDescent="0.2">
      <c r="B119" s="16"/>
      <c r="C119" s="4"/>
      <c r="D119" s="4"/>
      <c r="E119" s="4"/>
      <c r="F119" s="4"/>
      <c r="G119" s="4"/>
      <c r="H119" s="4"/>
      <c r="I119" s="4"/>
      <c r="J119" s="4"/>
      <c r="K119" s="4"/>
      <c r="L119" s="4"/>
      <c r="M119" s="4"/>
      <c r="N119" s="4"/>
      <c r="O119" s="17"/>
    </row>
    <row r="120" spans="2:17" ht="12.75" hidden="1" customHeight="1" x14ac:dyDescent="0.2">
      <c r="B120" s="16"/>
      <c r="C120" s="4"/>
      <c r="D120" s="4"/>
      <c r="E120" s="4"/>
      <c r="F120" s="4"/>
      <c r="G120" s="4"/>
      <c r="H120" s="4"/>
      <c r="I120" s="4"/>
      <c r="J120" s="4"/>
      <c r="K120" s="4"/>
      <c r="L120" s="4"/>
      <c r="M120" s="4"/>
      <c r="N120" s="4"/>
      <c r="O120" s="17"/>
    </row>
    <row r="121" spans="2:17" hidden="1" x14ac:dyDescent="0.2">
      <c r="B121" s="16"/>
      <c r="C121" s="4"/>
      <c r="D121" s="4"/>
      <c r="E121" s="4"/>
      <c r="F121" s="4"/>
      <c r="G121" s="4"/>
      <c r="H121" s="4"/>
      <c r="I121" s="4"/>
      <c r="J121" s="4"/>
      <c r="K121" s="4"/>
      <c r="L121" s="4"/>
      <c r="M121" s="4"/>
      <c r="N121" s="4"/>
      <c r="O121" s="17"/>
    </row>
    <row r="122" spans="2:17" hidden="1" x14ac:dyDescent="0.2">
      <c r="B122" s="16"/>
      <c r="C122" s="4"/>
      <c r="D122" s="4"/>
      <c r="E122" s="4"/>
      <c r="F122" s="4"/>
      <c r="G122" s="4"/>
      <c r="H122" s="4"/>
      <c r="I122" s="4"/>
      <c r="J122" s="4"/>
      <c r="K122" s="4"/>
      <c r="L122" s="4"/>
      <c r="M122" s="4"/>
      <c r="N122" s="4"/>
      <c r="O122" s="17"/>
      <c r="Q122" s="62"/>
    </row>
    <row r="123" spans="2:17" hidden="1" x14ac:dyDescent="0.2">
      <c r="B123" s="16"/>
      <c r="C123" s="4"/>
      <c r="D123" s="4"/>
      <c r="E123" s="4"/>
      <c r="F123" s="4"/>
      <c r="G123" s="4"/>
      <c r="H123" s="4"/>
      <c r="I123" s="4"/>
      <c r="J123" s="4"/>
      <c r="K123" s="4"/>
      <c r="L123" s="4"/>
      <c r="M123" s="4"/>
      <c r="N123" s="4"/>
      <c r="O123" s="17"/>
    </row>
    <row r="124" spans="2:17" hidden="1" x14ac:dyDescent="0.2">
      <c r="B124" s="16"/>
      <c r="C124" s="4"/>
      <c r="D124" s="4"/>
      <c r="E124" s="4"/>
      <c r="F124" s="4"/>
      <c r="G124" s="4"/>
      <c r="H124" s="4"/>
      <c r="I124" s="4"/>
      <c r="J124" s="4"/>
      <c r="K124" s="4"/>
      <c r="L124" s="4"/>
      <c r="M124" s="4"/>
      <c r="N124" s="4"/>
      <c r="O124" s="17"/>
    </row>
    <row r="125" spans="2:17" hidden="1" x14ac:dyDescent="0.2">
      <c r="B125" s="16"/>
      <c r="C125" s="4"/>
      <c r="D125" s="4"/>
      <c r="E125" s="4"/>
      <c r="F125" s="4"/>
      <c r="G125" s="4"/>
      <c r="H125" s="4"/>
      <c r="I125" s="4"/>
      <c r="J125" s="4"/>
      <c r="K125" s="4"/>
      <c r="L125" s="4"/>
      <c r="M125" s="4"/>
      <c r="N125" s="4"/>
      <c r="O125" s="17"/>
    </row>
    <row r="126" spans="2:17" hidden="1" x14ac:dyDescent="0.2">
      <c r="B126" s="16"/>
      <c r="C126" s="4"/>
      <c r="D126" s="4"/>
      <c r="E126" s="4"/>
      <c r="F126" s="4"/>
      <c r="G126" s="4"/>
      <c r="H126" s="4"/>
      <c r="I126" s="4"/>
      <c r="J126" s="4"/>
      <c r="K126" s="4"/>
      <c r="L126" s="4"/>
      <c r="M126" s="4"/>
      <c r="N126" s="4"/>
      <c r="O126" s="17"/>
    </row>
    <row r="127" spans="2:17" hidden="1" x14ac:dyDescent="0.2">
      <c r="B127" s="16"/>
      <c r="C127" s="4"/>
      <c r="D127" s="4"/>
      <c r="E127" s="4"/>
      <c r="F127" s="4"/>
      <c r="G127" s="4"/>
      <c r="H127" s="4"/>
      <c r="I127" s="4"/>
      <c r="J127" s="4"/>
      <c r="K127" s="4"/>
      <c r="L127" s="4"/>
      <c r="M127" s="4"/>
      <c r="N127" s="4"/>
      <c r="O127" s="17"/>
    </row>
    <row r="128" spans="2:17" hidden="1" x14ac:dyDescent="0.2">
      <c r="B128" s="16"/>
      <c r="C128" s="4"/>
      <c r="D128" s="4"/>
      <c r="E128" s="4"/>
      <c r="F128" s="4"/>
      <c r="G128" s="4"/>
      <c r="H128" s="4"/>
      <c r="I128" s="4"/>
      <c r="J128" s="4"/>
      <c r="K128" s="4"/>
      <c r="L128" s="4"/>
      <c r="M128" s="4"/>
      <c r="N128" s="4"/>
      <c r="O128" s="17"/>
    </row>
    <row r="129" spans="2:15" hidden="1" x14ac:dyDescent="0.2">
      <c r="B129" s="16"/>
      <c r="C129" s="4"/>
      <c r="D129" s="4"/>
      <c r="E129" s="4"/>
      <c r="F129" s="4"/>
      <c r="G129" s="4"/>
      <c r="H129" s="4"/>
      <c r="I129" s="4"/>
      <c r="J129" s="4"/>
      <c r="K129" s="4"/>
      <c r="L129" s="4"/>
      <c r="M129" s="4"/>
      <c r="N129" s="4"/>
      <c r="O129" s="17"/>
    </row>
    <row r="130" spans="2:15" hidden="1" x14ac:dyDescent="0.2">
      <c r="B130" s="16"/>
      <c r="C130" s="4"/>
      <c r="D130" s="4"/>
      <c r="E130" s="4"/>
      <c r="F130" s="4"/>
      <c r="G130" s="4"/>
      <c r="H130" s="4"/>
      <c r="I130" s="4"/>
      <c r="J130" s="4"/>
      <c r="K130" s="4"/>
      <c r="L130" s="4"/>
      <c r="M130" s="4"/>
      <c r="N130" s="4"/>
      <c r="O130" s="17"/>
    </row>
    <row r="131" spans="2:15" hidden="1" x14ac:dyDescent="0.2">
      <c r="B131" s="16"/>
      <c r="C131" s="4"/>
      <c r="D131" s="4"/>
      <c r="E131" s="4"/>
      <c r="F131" s="4"/>
      <c r="G131" s="4"/>
      <c r="H131" s="4"/>
      <c r="I131" s="4"/>
      <c r="J131" s="4"/>
      <c r="K131" s="4"/>
      <c r="L131" s="4"/>
      <c r="M131" s="4"/>
      <c r="N131" s="4"/>
      <c r="O131" s="17"/>
    </row>
    <row r="132" spans="2:15" hidden="1" x14ac:dyDescent="0.2">
      <c r="B132" s="16"/>
      <c r="C132" s="4"/>
      <c r="D132" s="4"/>
      <c r="E132" s="4"/>
      <c r="F132" s="4"/>
      <c r="G132" s="4"/>
      <c r="H132" s="4"/>
      <c r="I132" s="4"/>
      <c r="J132" s="4"/>
      <c r="K132" s="4"/>
      <c r="L132" s="4"/>
      <c r="M132" s="4"/>
      <c r="N132" s="4"/>
      <c r="O132" s="17"/>
    </row>
    <row r="133" spans="2:15" hidden="1" x14ac:dyDescent="0.2">
      <c r="B133" s="16"/>
      <c r="C133" s="4"/>
      <c r="D133" s="4"/>
      <c r="E133" s="4"/>
      <c r="F133" s="4"/>
      <c r="G133" s="4"/>
      <c r="H133" s="4"/>
      <c r="I133" s="4"/>
      <c r="J133" s="4"/>
      <c r="K133" s="4"/>
      <c r="L133" s="4"/>
      <c r="M133" s="4"/>
      <c r="N133" s="4"/>
      <c r="O133" s="17"/>
    </row>
    <row r="134" spans="2:15" hidden="1" x14ac:dyDescent="0.2">
      <c r="B134" s="16"/>
      <c r="C134" s="4"/>
      <c r="D134" s="4"/>
      <c r="E134" s="4"/>
      <c r="F134" s="4"/>
      <c r="G134" s="4"/>
      <c r="H134" s="4"/>
      <c r="I134" s="4"/>
      <c r="J134" s="4"/>
      <c r="K134" s="4"/>
      <c r="L134" s="4"/>
      <c r="M134" s="4"/>
      <c r="N134" s="4"/>
      <c r="O134" s="17"/>
    </row>
    <row r="135" spans="2:15" hidden="1" x14ac:dyDescent="0.2">
      <c r="B135" s="16"/>
      <c r="C135" s="4"/>
      <c r="D135" s="4"/>
      <c r="E135" s="4"/>
      <c r="F135" s="4"/>
      <c r="G135" s="4"/>
      <c r="H135" s="4"/>
      <c r="I135" s="4"/>
      <c r="J135" s="4"/>
      <c r="K135" s="4"/>
      <c r="L135" s="4"/>
      <c r="M135" s="4"/>
      <c r="N135" s="4"/>
      <c r="O135" s="17"/>
    </row>
    <row r="136" spans="2:15" hidden="1" x14ac:dyDescent="0.2">
      <c r="B136" s="16"/>
      <c r="C136" s="4"/>
      <c r="D136" s="4"/>
      <c r="E136" s="4"/>
      <c r="F136" s="4"/>
      <c r="G136" s="4"/>
      <c r="H136" s="4"/>
      <c r="I136" s="4"/>
      <c r="J136" s="4"/>
      <c r="K136" s="4"/>
      <c r="L136" s="4"/>
      <c r="M136" s="4"/>
      <c r="N136" s="4"/>
      <c r="O136" s="17"/>
    </row>
    <row r="137" spans="2:15" hidden="1" x14ac:dyDescent="0.2">
      <c r="B137" s="16"/>
      <c r="C137" s="4"/>
      <c r="D137" s="4"/>
      <c r="E137" s="4"/>
      <c r="F137" s="4"/>
      <c r="G137" s="4"/>
      <c r="H137" s="4"/>
      <c r="I137" s="4"/>
      <c r="J137" s="4"/>
      <c r="K137" s="4"/>
      <c r="L137" s="4"/>
      <c r="M137" s="4"/>
      <c r="N137" s="4"/>
      <c r="O137" s="17"/>
    </row>
    <row r="138" spans="2:15" hidden="1" x14ac:dyDescent="0.2">
      <c r="B138" s="16"/>
      <c r="C138" s="4"/>
      <c r="D138" s="4"/>
      <c r="E138" s="4"/>
      <c r="F138" s="4"/>
      <c r="G138" s="4"/>
      <c r="H138" s="4"/>
      <c r="I138" s="4"/>
      <c r="J138" s="4"/>
      <c r="K138" s="4"/>
      <c r="L138" s="4"/>
      <c r="M138" s="4"/>
      <c r="N138" s="4"/>
      <c r="O138" s="17"/>
    </row>
    <row r="139" spans="2:15" hidden="1" x14ac:dyDescent="0.2">
      <c r="B139" s="16"/>
      <c r="C139" s="4"/>
      <c r="D139" s="4"/>
      <c r="E139" s="4"/>
      <c r="F139" s="4"/>
      <c r="G139" s="4"/>
      <c r="H139" s="4"/>
      <c r="I139" s="4"/>
      <c r="J139" s="4"/>
      <c r="K139" s="4"/>
      <c r="L139" s="4"/>
      <c r="M139" s="4"/>
      <c r="N139" s="4"/>
      <c r="O139" s="17"/>
    </row>
    <row r="140" spans="2:15" hidden="1" x14ac:dyDescent="0.2">
      <c r="B140" s="16"/>
      <c r="C140" s="4"/>
      <c r="D140" s="4"/>
      <c r="E140" s="4"/>
      <c r="F140" s="4"/>
      <c r="G140" s="4"/>
      <c r="H140" s="4"/>
      <c r="I140" s="4"/>
      <c r="J140" s="4"/>
      <c r="K140" s="4"/>
      <c r="L140" s="4"/>
      <c r="M140" s="4"/>
      <c r="N140" s="4"/>
      <c r="O140" s="17"/>
    </row>
    <row r="141" spans="2:15" hidden="1" x14ac:dyDescent="0.2">
      <c r="B141" s="16"/>
      <c r="C141" s="4"/>
      <c r="D141" s="4"/>
      <c r="E141" s="4"/>
      <c r="F141" s="4"/>
      <c r="G141" s="4"/>
      <c r="H141" s="4"/>
      <c r="I141" s="4"/>
      <c r="J141" s="4"/>
      <c r="K141" s="4"/>
      <c r="L141" s="4"/>
      <c r="M141" s="4"/>
      <c r="N141" s="4"/>
      <c r="O141" s="17"/>
    </row>
    <row r="142" spans="2:15" hidden="1" x14ac:dyDescent="0.2">
      <c r="B142" s="16"/>
      <c r="C142" s="4"/>
      <c r="D142" s="4"/>
      <c r="E142" s="4"/>
      <c r="F142" s="4"/>
      <c r="G142" s="4"/>
      <c r="H142" s="4"/>
      <c r="I142" s="4"/>
      <c r="J142" s="4"/>
      <c r="K142" s="4"/>
      <c r="L142" s="4"/>
      <c r="M142" s="4"/>
      <c r="N142" s="4"/>
      <c r="O142" s="17"/>
    </row>
    <row r="143" spans="2:15" hidden="1" x14ac:dyDescent="0.2">
      <c r="B143" s="16"/>
      <c r="C143" s="4"/>
      <c r="D143" s="4"/>
      <c r="E143" s="4"/>
      <c r="F143" s="4"/>
      <c r="G143" s="4"/>
      <c r="H143" s="4"/>
      <c r="I143" s="4"/>
      <c r="J143" s="4"/>
      <c r="K143" s="4"/>
      <c r="L143" s="4"/>
      <c r="M143" s="4"/>
      <c r="N143" s="4"/>
      <c r="O143" s="17"/>
    </row>
    <row r="144" spans="2:15" hidden="1" x14ac:dyDescent="0.2">
      <c r="B144" s="16"/>
      <c r="C144" s="4"/>
      <c r="D144" s="4"/>
      <c r="E144" s="4"/>
      <c r="F144" s="4"/>
      <c r="G144" s="4"/>
      <c r="H144" s="4"/>
      <c r="I144" s="4"/>
      <c r="J144" s="4"/>
      <c r="K144" s="4"/>
      <c r="L144" s="4"/>
      <c r="M144" s="4"/>
      <c r="N144" s="4"/>
      <c r="O144" s="17"/>
    </row>
    <row r="145" spans="2:15" hidden="1" x14ac:dyDescent="0.2">
      <c r="B145" s="16"/>
      <c r="C145" s="4"/>
      <c r="D145" s="4"/>
      <c r="E145" s="4"/>
      <c r="F145" s="4"/>
      <c r="G145" s="4"/>
      <c r="H145" s="4"/>
      <c r="I145" s="4"/>
      <c r="J145" s="4"/>
      <c r="K145" s="4"/>
      <c r="L145" s="4"/>
      <c r="M145" s="4"/>
      <c r="N145" s="4"/>
      <c r="O145" s="17"/>
    </row>
    <row r="146" spans="2:15" hidden="1" x14ac:dyDescent="0.2">
      <c r="B146" s="16"/>
      <c r="C146" s="4"/>
      <c r="D146" s="4"/>
      <c r="E146" s="4"/>
      <c r="F146" s="4"/>
      <c r="G146" s="4"/>
      <c r="H146" s="4"/>
      <c r="I146" s="4"/>
      <c r="J146" s="4"/>
      <c r="K146" s="4"/>
      <c r="L146" s="4"/>
      <c r="M146" s="4"/>
      <c r="N146" s="4"/>
      <c r="O146" s="17"/>
    </row>
    <row r="147" spans="2:15" hidden="1" x14ac:dyDescent="0.2">
      <c r="B147" s="16"/>
      <c r="C147" s="4"/>
      <c r="D147" s="4"/>
      <c r="E147" s="4"/>
      <c r="F147" s="4"/>
      <c r="G147" s="4"/>
      <c r="H147" s="4"/>
      <c r="I147" s="4"/>
      <c r="J147" s="4"/>
      <c r="K147" s="4"/>
      <c r="L147" s="4"/>
      <c r="M147" s="4"/>
      <c r="N147" s="4"/>
      <c r="O147" s="17"/>
    </row>
    <row r="148" spans="2:15" hidden="1" x14ac:dyDescent="0.2">
      <c r="B148" s="16"/>
      <c r="C148" s="4"/>
      <c r="D148" s="4"/>
      <c r="E148" s="4"/>
      <c r="F148" s="4"/>
      <c r="G148" s="4"/>
      <c r="H148" s="4"/>
      <c r="I148" s="4"/>
      <c r="J148" s="4"/>
      <c r="K148" s="4"/>
      <c r="L148" s="4"/>
      <c r="M148" s="4"/>
      <c r="N148" s="4"/>
      <c r="O148" s="17"/>
    </row>
    <row r="149" spans="2:15" hidden="1" x14ac:dyDescent="0.2">
      <c r="B149" s="16"/>
      <c r="C149" s="4"/>
      <c r="D149" s="4"/>
      <c r="E149" s="4"/>
      <c r="F149" s="4"/>
      <c r="G149" s="4"/>
      <c r="H149" s="4"/>
      <c r="I149" s="4"/>
      <c r="J149" s="4"/>
      <c r="K149" s="4"/>
      <c r="L149" s="4"/>
      <c r="M149" s="4"/>
      <c r="N149" s="4"/>
      <c r="O149" s="17"/>
    </row>
    <row r="150" spans="2:15" hidden="1" x14ac:dyDescent="0.2">
      <c r="B150" s="16"/>
      <c r="C150" s="4"/>
      <c r="D150" s="4"/>
      <c r="E150" s="4"/>
      <c r="F150" s="4"/>
      <c r="G150" s="4"/>
      <c r="H150" s="4"/>
      <c r="I150" s="4"/>
      <c r="J150" s="4"/>
      <c r="K150" s="4"/>
      <c r="L150" s="4"/>
      <c r="M150" s="4"/>
      <c r="N150" s="4"/>
      <c r="O150" s="17"/>
    </row>
    <row r="151" spans="2:15" hidden="1" x14ac:dyDescent="0.2">
      <c r="B151" s="16"/>
      <c r="C151" s="4"/>
      <c r="D151" s="4"/>
      <c r="E151" s="4"/>
      <c r="F151" s="4"/>
      <c r="G151" s="4"/>
      <c r="H151" s="4"/>
      <c r="I151" s="4"/>
      <c r="J151" s="4"/>
      <c r="K151" s="4"/>
      <c r="L151" s="4"/>
      <c r="M151" s="4"/>
      <c r="N151" s="4"/>
      <c r="O151" s="17"/>
    </row>
    <row r="152" spans="2:15" x14ac:dyDescent="0.2">
      <c r="B152" s="16"/>
      <c r="C152" s="4"/>
      <c r="D152" s="4"/>
      <c r="E152" s="4"/>
      <c r="F152" s="4"/>
      <c r="G152" s="4"/>
      <c r="H152" s="4"/>
      <c r="I152" s="4"/>
      <c r="J152" s="4"/>
      <c r="K152" s="4"/>
      <c r="L152" s="4"/>
      <c r="M152" s="4"/>
      <c r="N152" s="4"/>
      <c r="O152" s="17"/>
    </row>
    <row r="153" spans="2:15" s="112" customFormat="1" hidden="1" x14ac:dyDescent="0.2">
      <c r="B153" s="107" t="s">
        <v>93</v>
      </c>
      <c r="C153" s="108"/>
      <c r="D153" s="108"/>
      <c r="E153" s="108"/>
      <c r="F153" s="108"/>
      <c r="G153" s="108"/>
      <c r="H153" s="108"/>
      <c r="I153" s="108"/>
      <c r="J153" s="108"/>
      <c r="K153" s="108"/>
      <c r="L153" s="108"/>
      <c r="M153" s="108"/>
      <c r="N153" s="108"/>
      <c r="O153" s="28"/>
    </row>
    <row r="154" spans="2:15" s="8" customFormat="1" ht="69.75" hidden="1" customHeight="1" x14ac:dyDescent="0.2">
      <c r="B154" s="56" t="s">
        <v>4</v>
      </c>
      <c r="C154" s="57" t="str">
        <f>C39</f>
        <v>Investment cost including VAT and other taxes (€)</v>
      </c>
      <c r="D154" s="57"/>
      <c r="E154" s="58" t="str">
        <f>G54</f>
        <v>CAPITAL SUBSIDY</v>
      </c>
      <c r="F154" s="57" t="s">
        <v>95</v>
      </c>
      <c r="G154" s="57" t="str">
        <f>Sheet1!H44</f>
        <v xml:space="preserve">Loan repayment </v>
      </c>
      <c r="H154" s="57" t="s">
        <v>63</v>
      </c>
      <c r="I154" s="58" t="s">
        <v>51</v>
      </c>
      <c r="J154" s="58" t="s">
        <v>94</v>
      </c>
      <c r="K154" s="57" t="s">
        <v>45</v>
      </c>
      <c r="L154" s="59"/>
      <c r="M154" s="59"/>
      <c r="N154" s="57"/>
      <c r="O154" s="60"/>
    </row>
    <row r="155" spans="2:15" hidden="1" x14ac:dyDescent="0.2">
      <c r="B155" s="109">
        <v>0</v>
      </c>
      <c r="C155" s="110">
        <f>-K56</f>
        <v>-401956</v>
      </c>
      <c r="D155" s="111"/>
      <c r="E155" s="137">
        <f>G56</f>
        <v>0</v>
      </c>
      <c r="F155" s="111"/>
      <c r="G155" s="111"/>
      <c r="H155" s="108"/>
      <c r="I155" s="137"/>
      <c r="J155" s="108"/>
      <c r="K155" s="110">
        <f>C155+F155+G155+E155</f>
        <v>-401956</v>
      </c>
      <c r="L155" s="110"/>
      <c r="M155" s="66"/>
      <c r="N155" s="113"/>
      <c r="O155" s="114"/>
    </row>
    <row r="156" spans="2:15" hidden="1" x14ac:dyDescent="0.2">
      <c r="B156" s="109">
        <v>1</v>
      </c>
      <c r="C156" s="111"/>
      <c r="D156" s="111"/>
      <c r="E156" s="108"/>
      <c r="F156" s="115">
        <f>+Sheet1!F46+Sheet1!G46</f>
        <v>13456.093999999997</v>
      </c>
      <c r="G156" s="110">
        <f>+Sheet1!H46</f>
        <v>-30892.825716422445</v>
      </c>
      <c r="H156" s="108"/>
      <c r="I156" s="110">
        <f>Sheet1!J46</f>
        <v>0</v>
      </c>
      <c r="J156" s="110">
        <f t="shared" ref="J156:J190" si="0">-IF(MOD(B156,$K$23)=0,$K$22*(1+$K$42)^B156,0)</f>
        <v>0</v>
      </c>
      <c r="K156" s="110">
        <f t="shared" ref="K156:K190" si="1">IF(B156&gt;$K$11,"",E156+F156+G156+H156+I156+J156)</f>
        <v>-17436.731716422448</v>
      </c>
      <c r="L156" s="110"/>
      <c r="M156" s="66"/>
      <c r="N156" s="116"/>
      <c r="O156" s="114"/>
    </row>
    <row r="157" spans="2:15" hidden="1" x14ac:dyDescent="0.2">
      <c r="B157" s="109">
        <v>2</v>
      </c>
      <c r="C157" s="111"/>
      <c r="D157" s="111"/>
      <c r="E157" s="108"/>
      <c r="F157" s="115">
        <f>+Sheet1!F47+Sheet1!G47</f>
        <v>13454.760365599999</v>
      </c>
      <c r="G157" s="110">
        <f>+Sheet1!H47</f>
        <v>-30892.825716422445</v>
      </c>
      <c r="H157" s="108"/>
      <c r="I157" s="110">
        <f>Sheet1!J47</f>
        <v>0</v>
      </c>
      <c r="J157" s="110">
        <f t="shared" si="0"/>
        <v>0</v>
      </c>
      <c r="K157" s="110">
        <f t="shared" si="1"/>
        <v>-17438.065350822446</v>
      </c>
      <c r="L157" s="110"/>
      <c r="M157" s="66"/>
      <c r="N157" s="116"/>
      <c r="O157" s="114"/>
    </row>
    <row r="158" spans="2:15" hidden="1" x14ac:dyDescent="0.2">
      <c r="B158" s="109">
        <v>3</v>
      </c>
      <c r="C158" s="111"/>
      <c r="D158" s="111"/>
      <c r="E158" s="108"/>
      <c r="F158" s="115">
        <f>+Sheet1!F48+Sheet1!G48</f>
        <v>13453.426864563444</v>
      </c>
      <c r="G158" s="110">
        <f>+Sheet1!H48</f>
        <v>-30892.825716422445</v>
      </c>
      <c r="H158" s="108"/>
      <c r="I158" s="110">
        <f>Sheet1!J48</f>
        <v>0</v>
      </c>
      <c r="J158" s="110">
        <f t="shared" si="0"/>
        <v>0</v>
      </c>
      <c r="K158" s="110">
        <f t="shared" si="1"/>
        <v>-17439.398851859001</v>
      </c>
      <c r="L158" s="110"/>
      <c r="M158" s="66"/>
      <c r="N158" s="116"/>
      <c r="O158" s="114"/>
    </row>
    <row r="159" spans="2:15" hidden="1" x14ac:dyDescent="0.2">
      <c r="B159" s="109">
        <v>4</v>
      </c>
      <c r="C159" s="111"/>
      <c r="D159" s="111"/>
      <c r="E159" s="108"/>
      <c r="F159" s="115">
        <f>+Sheet1!F49+Sheet1!G49</f>
        <v>13452.09349687698</v>
      </c>
      <c r="G159" s="110">
        <f>+Sheet1!H49</f>
        <v>-30892.825716422445</v>
      </c>
      <c r="H159" s="108"/>
      <c r="I159" s="110">
        <f>Sheet1!J49</f>
        <v>0</v>
      </c>
      <c r="J159" s="110">
        <f t="shared" si="0"/>
        <v>-1.08243216</v>
      </c>
      <c r="K159" s="110">
        <f t="shared" si="1"/>
        <v>-17441.814651705467</v>
      </c>
      <c r="L159" s="110"/>
      <c r="M159" s="66"/>
      <c r="N159" s="116"/>
      <c r="O159" s="114"/>
    </row>
    <row r="160" spans="2:15" hidden="1" x14ac:dyDescent="0.2">
      <c r="B160" s="109">
        <v>5</v>
      </c>
      <c r="C160" s="111"/>
      <c r="D160" s="111"/>
      <c r="E160" s="108"/>
      <c r="F160" s="115">
        <f>+Sheet1!F50+Sheet1!G50</f>
        <v>13450.760262527299</v>
      </c>
      <c r="G160" s="110">
        <f>+Sheet1!H50</f>
        <v>-30892.825716422445</v>
      </c>
      <c r="H160" s="108"/>
      <c r="I160" s="110">
        <f>Sheet1!J50</f>
        <v>0</v>
      </c>
      <c r="J160" s="110">
        <f t="shared" si="0"/>
        <v>0</v>
      </c>
      <c r="K160" s="110">
        <f t="shared" si="1"/>
        <v>-17442.065453895146</v>
      </c>
      <c r="L160" s="110"/>
      <c r="M160" s="66"/>
      <c r="N160" s="116"/>
      <c r="O160" s="114"/>
    </row>
    <row r="161" spans="2:15" hidden="1" x14ac:dyDescent="0.2">
      <c r="B161" s="109">
        <v>6</v>
      </c>
      <c r="C161" s="111"/>
      <c r="D161" s="111"/>
      <c r="E161" s="108"/>
      <c r="F161" s="115">
        <f>+Sheet1!F51+Sheet1!G51</f>
        <v>13449.427161501044</v>
      </c>
      <c r="G161" s="110">
        <f>+Sheet1!H51</f>
        <v>-30892.825716422445</v>
      </c>
      <c r="H161" s="108"/>
      <c r="I161" s="110">
        <f>Sheet1!J51</f>
        <v>0</v>
      </c>
      <c r="J161" s="110">
        <f t="shared" si="0"/>
        <v>0</v>
      </c>
      <c r="K161" s="110">
        <f t="shared" si="1"/>
        <v>-17443.398554921401</v>
      </c>
      <c r="L161" s="110"/>
      <c r="M161" s="66"/>
      <c r="N161" s="116"/>
      <c r="O161" s="114"/>
    </row>
    <row r="162" spans="2:15" hidden="1" x14ac:dyDescent="0.2">
      <c r="B162" s="109">
        <v>7</v>
      </c>
      <c r="C162" s="111"/>
      <c r="D162" s="111"/>
      <c r="E162" s="108"/>
      <c r="F162" s="115">
        <f>+Sheet1!F52+Sheet1!G52</f>
        <v>13448.094193784891</v>
      </c>
      <c r="G162" s="110">
        <f>+Sheet1!H52</f>
        <v>-30892.825716422445</v>
      </c>
      <c r="H162" s="108"/>
      <c r="I162" s="110">
        <f>Sheet1!J52</f>
        <v>0</v>
      </c>
      <c r="J162" s="110">
        <f t="shared" si="0"/>
        <v>0</v>
      </c>
      <c r="K162" s="110">
        <f t="shared" si="1"/>
        <v>-17444.731522637554</v>
      </c>
      <c r="L162" s="110"/>
      <c r="M162" s="66"/>
      <c r="N162" s="116"/>
      <c r="O162" s="114"/>
    </row>
    <row r="163" spans="2:15" hidden="1" x14ac:dyDescent="0.2">
      <c r="B163" s="109">
        <v>8</v>
      </c>
      <c r="C163" s="111"/>
      <c r="D163" s="111"/>
      <c r="E163" s="108"/>
      <c r="F163" s="115">
        <f>+Sheet1!F53+Sheet1!G53</f>
        <v>13446.761359365511</v>
      </c>
      <c r="G163" s="110">
        <f>+Sheet1!H53</f>
        <v>-30892.825716422445</v>
      </c>
      <c r="H163" s="108"/>
      <c r="I163" s="110">
        <f>Sheet1!J53</f>
        <v>0</v>
      </c>
      <c r="J163" s="110">
        <f t="shared" si="0"/>
        <v>-1.1716593810022655</v>
      </c>
      <c r="K163" s="110">
        <f t="shared" si="1"/>
        <v>-17447.236016437935</v>
      </c>
      <c r="L163" s="110"/>
      <c r="M163" s="66"/>
      <c r="N163" s="116"/>
      <c r="O163" s="114"/>
    </row>
    <row r="164" spans="2:15" hidden="1" x14ac:dyDescent="0.2">
      <c r="B164" s="109">
        <v>9</v>
      </c>
      <c r="C164" s="111"/>
      <c r="D164" s="111"/>
      <c r="E164" s="108"/>
      <c r="F164" s="115">
        <f>+Sheet1!F54+Sheet1!G54</f>
        <v>13445.428658229575</v>
      </c>
      <c r="G164" s="110">
        <f>+Sheet1!H54</f>
        <v>-30892.825716422445</v>
      </c>
      <c r="H164" s="108"/>
      <c r="I164" s="110">
        <f>Sheet1!J54</f>
        <v>0</v>
      </c>
      <c r="J164" s="110">
        <f t="shared" si="0"/>
        <v>0</v>
      </c>
      <c r="K164" s="110">
        <f t="shared" si="1"/>
        <v>-17447.39705819287</v>
      </c>
      <c r="L164" s="110"/>
      <c r="M164" s="66"/>
      <c r="N164" s="116"/>
      <c r="O164" s="114"/>
    </row>
    <row r="165" spans="2:15" hidden="1" x14ac:dyDescent="0.2">
      <c r="B165" s="109">
        <v>10</v>
      </c>
      <c r="C165" s="111"/>
      <c r="D165" s="111"/>
      <c r="E165" s="108"/>
      <c r="F165" s="115">
        <f>+Sheet1!F55+Sheet1!G55</f>
        <v>13444.096090363753</v>
      </c>
      <c r="G165" s="110">
        <f>+Sheet1!H55</f>
        <v>-30892.825716422445</v>
      </c>
      <c r="H165" s="108"/>
      <c r="I165" s="110">
        <f>Sheet1!J55</f>
        <v>0</v>
      </c>
      <c r="J165" s="110">
        <f t="shared" si="0"/>
        <v>0</v>
      </c>
      <c r="K165" s="110">
        <f t="shared" si="1"/>
        <v>-17448.729626058692</v>
      </c>
      <c r="L165" s="110"/>
      <c r="M165" s="66"/>
      <c r="N165" s="116"/>
      <c r="O165" s="114"/>
    </row>
    <row r="166" spans="2:15" hidden="1" x14ac:dyDescent="0.2">
      <c r="B166" s="109">
        <v>11</v>
      </c>
      <c r="C166" s="111"/>
      <c r="D166" s="111"/>
      <c r="E166" s="108"/>
      <c r="F166" s="115">
        <f>+Sheet1!F56+Sheet1!G56</f>
        <v>53771.054623018877</v>
      </c>
      <c r="G166" s="110">
        <f>+Sheet1!H56</f>
        <v>-30892.825716422445</v>
      </c>
      <c r="H166" s="108"/>
      <c r="I166" s="110">
        <f>Sheet1!J56</f>
        <v>-999.67294394930025</v>
      </c>
      <c r="J166" s="110">
        <f t="shared" si="0"/>
        <v>0</v>
      </c>
      <c r="K166" s="110">
        <f t="shared" si="1"/>
        <v>21878.555962647133</v>
      </c>
      <c r="L166" s="110"/>
      <c r="M166" s="66"/>
      <c r="N166" s="116"/>
      <c r="O166" s="114"/>
    </row>
    <row r="167" spans="2:15" hidden="1" x14ac:dyDescent="0.2">
      <c r="B167" s="109">
        <v>12</v>
      </c>
      <c r="C167" s="111"/>
      <c r="D167" s="111"/>
      <c r="E167" s="108"/>
      <c r="F167" s="115">
        <f>+Sheet1!F57+Sheet1!G57</f>
        <v>53765.725417556569</v>
      </c>
      <c r="G167" s="110">
        <f>+Sheet1!H57</f>
        <v>-30892.825716422445</v>
      </c>
      <c r="H167" s="108"/>
      <c r="I167" s="110">
        <f>Sheet1!J57</f>
        <v>-1019.6664028282864</v>
      </c>
      <c r="J167" s="110">
        <f t="shared" si="0"/>
        <v>-1.2682417945625453</v>
      </c>
      <c r="K167" s="110">
        <f t="shared" si="1"/>
        <v>21851.965056511275</v>
      </c>
      <c r="L167" s="110"/>
      <c r="M167" s="66"/>
      <c r="N167" s="116"/>
      <c r="O167" s="114"/>
    </row>
    <row r="168" spans="2:15" hidden="1" x14ac:dyDescent="0.2">
      <c r="B168" s="109">
        <v>13</v>
      </c>
      <c r="C168" s="111"/>
      <c r="D168" s="111"/>
      <c r="E168" s="108"/>
      <c r="F168" s="115">
        <f>+Sheet1!F58+Sheet1!G58</f>
        <v>53760.396745014812</v>
      </c>
      <c r="G168" s="110">
        <f>+Sheet1!H58</f>
        <v>-30892.825716422445</v>
      </c>
      <c r="H168" s="108"/>
      <c r="I168" s="110">
        <f>Sheet1!J58</f>
        <v>-1040.0597308848521</v>
      </c>
      <c r="J168" s="110">
        <f t="shared" si="0"/>
        <v>0</v>
      </c>
      <c r="K168" s="110">
        <f t="shared" si="1"/>
        <v>21827.511297707515</v>
      </c>
      <c r="L168" s="110"/>
      <c r="M168" s="66"/>
      <c r="N168" s="116"/>
      <c r="O168" s="114"/>
    </row>
    <row r="169" spans="2:15" hidden="1" x14ac:dyDescent="0.2">
      <c r="B169" s="109">
        <v>14</v>
      </c>
      <c r="C169" s="111"/>
      <c r="D169" s="111"/>
      <c r="E169" s="108"/>
      <c r="F169" s="115">
        <f>+Sheet1!F59+Sheet1!G59</f>
        <v>53755.068605340311</v>
      </c>
      <c r="G169" s="110">
        <f>+Sheet1!H59</f>
        <v>-30892.825716422445</v>
      </c>
      <c r="H169" s="108"/>
      <c r="I169" s="110">
        <f>Sheet1!J59</f>
        <v>-1060.8609255025492</v>
      </c>
      <c r="J169" s="110">
        <f t="shared" si="0"/>
        <v>0</v>
      </c>
      <c r="K169" s="110">
        <f t="shared" si="1"/>
        <v>21801.381963415319</v>
      </c>
      <c r="L169" s="110"/>
      <c r="M169" s="66"/>
      <c r="N169" s="116"/>
      <c r="O169" s="114"/>
    </row>
    <row r="170" spans="2:15" hidden="1" x14ac:dyDescent="0.2">
      <c r="B170" s="109">
        <v>15</v>
      </c>
      <c r="C170" s="111"/>
      <c r="D170" s="111"/>
      <c r="E170" s="108"/>
      <c r="F170" s="115">
        <f>+Sheet1!F60+Sheet1!G60</f>
        <v>53749.740998479785</v>
      </c>
      <c r="G170" s="110">
        <f>+Sheet1!H60</f>
        <v>-30892.825716422445</v>
      </c>
      <c r="H170" s="108"/>
      <c r="I170" s="110">
        <f>Sheet1!J60</f>
        <v>-1082.0781440126</v>
      </c>
      <c r="J170" s="110">
        <f t="shared" si="0"/>
        <v>0</v>
      </c>
      <c r="K170" s="110">
        <f t="shared" si="1"/>
        <v>21774.837138044739</v>
      </c>
      <c r="L170" s="110"/>
      <c r="M170" s="66"/>
      <c r="N170" s="116"/>
      <c r="O170" s="114"/>
    </row>
    <row r="171" spans="2:15" hidden="1" x14ac:dyDescent="0.2">
      <c r="B171" s="109">
        <v>16</v>
      </c>
      <c r="C171" s="111"/>
      <c r="D171" s="111"/>
      <c r="E171" s="108"/>
      <c r="F171" s="115">
        <f>+Sheet1!F61+Sheet1!G61</f>
        <v>53744.413924379922</v>
      </c>
      <c r="G171" s="110">
        <f>+Sheet1!H61</f>
        <v>0</v>
      </c>
      <c r="H171" s="108"/>
      <c r="I171" s="110">
        <f>Sheet1!J61</f>
        <v>-1103.7197068928522</v>
      </c>
      <c r="J171" s="110">
        <f t="shared" si="0"/>
        <v>-1.372785705090612</v>
      </c>
      <c r="K171" s="110" t="str">
        <f t="shared" si="1"/>
        <v/>
      </c>
      <c r="L171" s="110"/>
      <c r="M171" s="66"/>
      <c r="N171" s="116"/>
      <c r="O171" s="114"/>
    </row>
    <row r="172" spans="2:15" hidden="1" x14ac:dyDescent="0.2">
      <c r="B172" s="109">
        <v>17</v>
      </c>
      <c r="C172" s="111"/>
      <c r="D172" s="111"/>
      <c r="E172" s="108"/>
      <c r="F172" s="115">
        <f>+Sheet1!F62+Sheet1!G62</f>
        <v>53739.087382987491</v>
      </c>
      <c r="G172" s="110">
        <f>+Sheet1!H62</f>
        <v>0</v>
      </c>
      <c r="H172" s="108"/>
      <c r="I172" s="110">
        <f>Sheet1!J62</f>
        <v>-1125.7941010307093</v>
      </c>
      <c r="J172" s="110">
        <f t="shared" si="0"/>
        <v>0</v>
      </c>
      <c r="K172" s="110" t="str">
        <f t="shared" si="1"/>
        <v/>
      </c>
      <c r="L172" s="110"/>
      <c r="M172" s="66"/>
      <c r="N172" s="116"/>
      <c r="O172" s="114"/>
    </row>
    <row r="173" spans="2:15" hidden="1" x14ac:dyDescent="0.2">
      <c r="B173" s="109">
        <v>18</v>
      </c>
      <c r="C173" s="111"/>
      <c r="D173" s="111"/>
      <c r="E173" s="108"/>
      <c r="F173" s="115">
        <f>+Sheet1!F63+Sheet1!G63</f>
        <v>53733.761374249203</v>
      </c>
      <c r="G173" s="110">
        <f>+Sheet1!H63</f>
        <v>0</v>
      </c>
      <c r="H173" s="108"/>
      <c r="I173" s="110">
        <f>Sheet1!J63</f>
        <v>-1148.3099830513233</v>
      </c>
      <c r="J173" s="110">
        <f t="shared" si="0"/>
        <v>0</v>
      </c>
      <c r="K173" s="110" t="str">
        <f t="shared" si="1"/>
        <v/>
      </c>
      <c r="L173" s="110"/>
      <c r="M173" s="66"/>
      <c r="N173" s="116"/>
      <c r="O173" s="114"/>
    </row>
    <row r="174" spans="2:15" hidden="1" x14ac:dyDescent="0.2">
      <c r="B174" s="109">
        <v>19</v>
      </c>
      <c r="C174" s="111"/>
      <c r="D174" s="111"/>
      <c r="E174" s="108"/>
      <c r="F174" s="115">
        <f>+Sheet1!F64+Sheet1!G64</f>
        <v>53728.435898111777</v>
      </c>
      <c r="G174" s="110">
        <f>+Sheet1!H64</f>
        <v>0</v>
      </c>
      <c r="H174" s="108"/>
      <c r="I174" s="110">
        <f>Sheet1!J64</f>
        <v>-1171.2761827123497</v>
      </c>
      <c r="J174" s="110">
        <f t="shared" si="0"/>
        <v>0</v>
      </c>
      <c r="K174" s="110" t="str">
        <f t="shared" si="1"/>
        <v/>
      </c>
      <c r="L174" s="110"/>
      <c r="M174" s="66"/>
      <c r="N174" s="116"/>
      <c r="O174" s="114"/>
    </row>
    <row r="175" spans="2:15" hidden="1" x14ac:dyDescent="0.2">
      <c r="B175" s="109">
        <v>20</v>
      </c>
      <c r="C175" s="111"/>
      <c r="D175" s="111"/>
      <c r="E175" s="108"/>
      <c r="F175" s="115">
        <f>+Sheet1!F65+Sheet1!G65</f>
        <v>53723.110954521951</v>
      </c>
      <c r="G175" s="110">
        <f>+Sheet1!H65</f>
        <v>0</v>
      </c>
      <c r="H175" s="108"/>
      <c r="I175" s="110">
        <f>Sheet1!J65</f>
        <v>-1194.7017063665969</v>
      </c>
      <c r="J175" s="110">
        <f t="shared" si="0"/>
        <v>-1.4859473959783542</v>
      </c>
      <c r="K175" s="110" t="str">
        <f t="shared" si="1"/>
        <v/>
      </c>
      <c r="L175" s="110"/>
      <c r="M175" s="66"/>
      <c r="N175" s="116"/>
      <c r="O175" s="114"/>
    </row>
    <row r="176" spans="2:15" hidden="1" x14ac:dyDescent="0.2">
      <c r="B176" s="109">
        <v>21</v>
      </c>
      <c r="C176" s="111"/>
      <c r="D176" s="111"/>
      <c r="E176" s="108"/>
      <c r="F176" s="115">
        <f>+Sheet1!F66+Sheet1!G66</f>
        <v>53717.786543426504</v>
      </c>
      <c r="G176" s="110">
        <f>+Sheet1!H66</f>
        <v>0</v>
      </c>
      <c r="H176" s="108"/>
      <c r="I176" s="110">
        <f>Sheet1!J66</f>
        <v>-1218.5957404939286</v>
      </c>
      <c r="J176" s="110">
        <f t="shared" si="0"/>
        <v>0</v>
      </c>
      <c r="K176" s="110" t="str">
        <f t="shared" si="1"/>
        <v/>
      </c>
      <c r="L176" s="110"/>
      <c r="M176" s="66"/>
      <c r="N176" s="116"/>
      <c r="O176" s="114"/>
    </row>
    <row r="177" spans="1:15" hidden="1" x14ac:dyDescent="0.2">
      <c r="B177" s="109">
        <v>22</v>
      </c>
      <c r="C177" s="111"/>
      <c r="D177" s="111"/>
      <c r="E177" s="108"/>
      <c r="F177" s="115">
        <f>+Sheet1!F67+Sheet1!G67</f>
        <v>53712.462664772152</v>
      </c>
      <c r="G177" s="110">
        <f>+Sheet1!H67</f>
        <v>0</v>
      </c>
      <c r="H177" s="108"/>
      <c r="I177" s="110">
        <f>Sheet1!J67</f>
        <v>-1242.9676553038073</v>
      </c>
      <c r="J177" s="110">
        <f t="shared" si="0"/>
        <v>0</v>
      </c>
      <c r="K177" s="110" t="str">
        <f t="shared" si="1"/>
        <v/>
      </c>
      <c r="L177" s="110"/>
      <c r="M177" s="66"/>
      <c r="N177" s="116"/>
      <c r="O177" s="114"/>
    </row>
    <row r="178" spans="1:15" hidden="1" x14ac:dyDescent="0.2">
      <c r="B178" s="109">
        <v>23</v>
      </c>
      <c r="C178" s="111"/>
      <c r="D178" s="111"/>
      <c r="E178" s="108"/>
      <c r="F178" s="115">
        <f>+Sheet1!F68+Sheet1!G68</f>
        <v>53707.139318505688</v>
      </c>
      <c r="G178" s="110">
        <f>+Sheet1!H68</f>
        <v>0</v>
      </c>
      <c r="H178" s="108"/>
      <c r="I178" s="110">
        <f>Sheet1!J68</f>
        <v>-1267.8270084098833</v>
      </c>
      <c r="J178" s="110">
        <f t="shared" si="0"/>
        <v>0</v>
      </c>
      <c r="K178" s="110" t="str">
        <f t="shared" si="1"/>
        <v/>
      </c>
      <c r="L178" s="110"/>
      <c r="M178" s="66"/>
      <c r="N178" s="116"/>
      <c r="O178" s="114"/>
    </row>
    <row r="179" spans="1:15" hidden="1" x14ac:dyDescent="0.2">
      <c r="B179" s="109">
        <v>24</v>
      </c>
      <c r="C179" s="111"/>
      <c r="D179" s="111"/>
      <c r="E179" s="108"/>
      <c r="F179" s="115">
        <f>+Sheet1!F69+Sheet1!G69</f>
        <v>53701.816504573835</v>
      </c>
      <c r="G179" s="110">
        <f>+Sheet1!H69</f>
        <v>0</v>
      </c>
      <c r="H179" s="108"/>
      <c r="I179" s="110">
        <f>Sheet1!J69</f>
        <v>-1293.1835485780809</v>
      </c>
      <c r="J179" s="110">
        <f t="shared" si="0"/>
        <v>-1.608437249475225</v>
      </c>
      <c r="K179" s="110" t="str">
        <f t="shared" si="1"/>
        <v/>
      </c>
      <c r="L179" s="110"/>
      <c r="M179" s="66"/>
      <c r="N179" s="116"/>
      <c r="O179" s="114"/>
    </row>
    <row r="180" spans="1:15" hidden="1" x14ac:dyDescent="0.2">
      <c r="B180" s="109">
        <v>25</v>
      </c>
      <c r="C180" s="111"/>
      <c r="D180" s="111"/>
      <c r="E180" s="108"/>
      <c r="F180" s="115">
        <f>+Sheet1!F70+Sheet1!G70</f>
        <v>53696.494222923386</v>
      </c>
      <c r="G180" s="110">
        <f>+Sheet1!H70</f>
        <v>0</v>
      </c>
      <c r="H180" s="108"/>
      <c r="I180" s="110">
        <f>Sheet1!J70</f>
        <v>-1319.0472195496425</v>
      </c>
      <c r="J180" s="110">
        <f t="shared" si="0"/>
        <v>0</v>
      </c>
      <c r="K180" s="110" t="str">
        <f t="shared" si="1"/>
        <v/>
      </c>
      <c r="L180" s="110"/>
      <c r="M180" s="66"/>
      <c r="N180" s="116"/>
      <c r="O180" s="114"/>
    </row>
    <row r="181" spans="1:15" hidden="1" x14ac:dyDescent="0.2">
      <c r="B181" s="109">
        <v>26</v>
      </c>
      <c r="C181" s="111"/>
      <c r="D181" s="111"/>
      <c r="E181" s="108"/>
      <c r="F181" s="115">
        <f>+Sheet1!F71+Sheet1!G71</f>
        <v>53691.172473501101</v>
      </c>
      <c r="G181" s="110">
        <f>+Sheet1!H71</f>
        <v>0</v>
      </c>
      <c r="H181" s="108"/>
      <c r="I181" s="110">
        <f>Sheet1!J71</f>
        <v>-1345.4281639406356</v>
      </c>
      <c r="J181" s="110">
        <f t="shared" si="0"/>
        <v>0</v>
      </c>
      <c r="K181" s="110" t="str">
        <f t="shared" si="1"/>
        <v/>
      </c>
      <c r="L181" s="110"/>
      <c r="M181" s="66"/>
      <c r="N181" s="116"/>
      <c r="O181" s="114"/>
    </row>
    <row r="182" spans="1:15" hidden="1" x14ac:dyDescent="0.2">
      <c r="B182" s="109">
        <v>27</v>
      </c>
      <c r="C182" s="111"/>
      <c r="D182" s="111"/>
      <c r="E182" s="108"/>
      <c r="F182" s="115">
        <f>+Sheet1!F72+Sheet1!G72</f>
        <v>53685.851256253743</v>
      </c>
      <c r="G182" s="110">
        <f>+Sheet1!H72</f>
        <v>0</v>
      </c>
      <c r="H182" s="108"/>
      <c r="I182" s="110">
        <f>Sheet1!J72</f>
        <v>-1372.336727219448</v>
      </c>
      <c r="J182" s="110">
        <f t="shared" si="0"/>
        <v>0</v>
      </c>
      <c r="K182" s="110" t="str">
        <f t="shared" si="1"/>
        <v/>
      </c>
      <c r="L182" s="110"/>
      <c r="M182" s="66"/>
      <c r="N182" s="116"/>
      <c r="O182" s="114"/>
    </row>
    <row r="183" spans="1:15" hidden="1" x14ac:dyDescent="0.2">
      <c r="B183" s="109">
        <v>28</v>
      </c>
      <c r="C183" s="111"/>
      <c r="D183" s="111"/>
      <c r="E183" s="108"/>
      <c r="F183" s="115">
        <f>+Sheet1!F73+Sheet1!G73</f>
        <v>53680.530571128103</v>
      </c>
      <c r="G183" s="110">
        <f>+Sheet1!H73</f>
        <v>0</v>
      </c>
      <c r="H183" s="108"/>
      <c r="I183" s="110">
        <f>Sheet1!J73</f>
        <v>-1399.7834617638373</v>
      </c>
      <c r="J183" s="110">
        <f t="shared" si="0"/>
        <v>-1.7410242061739269</v>
      </c>
      <c r="K183" s="110" t="str">
        <f t="shared" si="1"/>
        <v/>
      </c>
      <c r="L183" s="110"/>
      <c r="M183" s="66"/>
      <c r="N183" s="116"/>
      <c r="O183" s="114"/>
    </row>
    <row r="184" spans="1:15" hidden="1" x14ac:dyDescent="0.2">
      <c r="B184" s="109">
        <v>29</v>
      </c>
      <c r="C184" s="111"/>
      <c r="D184" s="111"/>
      <c r="E184" s="108"/>
      <c r="F184" s="115">
        <f>+Sheet1!F74+Sheet1!G74</f>
        <v>53675.210418070994</v>
      </c>
      <c r="G184" s="110">
        <f>+Sheet1!H74</f>
        <v>0</v>
      </c>
      <c r="H184" s="108"/>
      <c r="I184" s="110">
        <f>Sheet1!J74</f>
        <v>-1427.7791309991137</v>
      </c>
      <c r="J184" s="110">
        <f t="shared" si="0"/>
        <v>0</v>
      </c>
      <c r="K184" s="110" t="str">
        <f t="shared" si="1"/>
        <v/>
      </c>
      <c r="L184" s="110"/>
      <c r="M184" s="66"/>
      <c r="N184" s="116"/>
      <c r="O184" s="114"/>
    </row>
    <row r="185" spans="1:15" hidden="1" x14ac:dyDescent="0.2">
      <c r="B185" s="109">
        <v>30</v>
      </c>
      <c r="C185" s="111"/>
      <c r="D185" s="111"/>
      <c r="E185" s="108"/>
      <c r="F185" s="115">
        <f>+Sheet1!F75+Sheet1!G75</f>
        <v>53669.890797029177</v>
      </c>
      <c r="G185" s="110">
        <f>+Sheet1!H75</f>
        <v>0</v>
      </c>
      <c r="H185" s="108"/>
      <c r="I185" s="110">
        <f>Sheet1!J75</f>
        <v>-1456.3347136190962</v>
      </c>
      <c r="J185" s="110">
        <f t="shared" si="0"/>
        <v>0</v>
      </c>
      <c r="K185" s="110" t="str">
        <f t="shared" si="1"/>
        <v/>
      </c>
      <c r="L185" s="110"/>
      <c r="M185" s="66"/>
      <c r="N185" s="116"/>
      <c r="O185" s="114"/>
    </row>
    <row r="186" spans="1:15" hidden="1" x14ac:dyDescent="0.2">
      <c r="B186" s="109">
        <v>31</v>
      </c>
      <c r="C186" s="111"/>
      <c r="D186" s="111"/>
      <c r="E186" s="108"/>
      <c r="F186" s="115">
        <f>+Sheet1!F76+Sheet1!G76</f>
        <v>53664.571707949493</v>
      </c>
      <c r="G186" s="110">
        <f>+Sheet1!H76</f>
        <v>0</v>
      </c>
      <c r="H186" s="108"/>
      <c r="I186" s="110">
        <f>Sheet1!J76</f>
        <v>-1485.4614078914778</v>
      </c>
      <c r="J186" s="110">
        <f t="shared" si="0"/>
        <v>0</v>
      </c>
      <c r="K186" s="110" t="str">
        <f t="shared" si="1"/>
        <v/>
      </c>
      <c r="L186" s="110"/>
      <c r="M186" s="66"/>
      <c r="N186" s="116"/>
      <c r="O186" s="114"/>
    </row>
    <row r="187" spans="1:15" hidden="1" x14ac:dyDescent="0.2">
      <c r="B187" s="109">
        <v>32</v>
      </c>
      <c r="C187" s="111"/>
      <c r="D187" s="111"/>
      <c r="E187" s="108"/>
      <c r="F187" s="115">
        <f>+Sheet1!F77+Sheet1!G77</f>
        <v>53659.253150778684</v>
      </c>
      <c r="G187" s="110">
        <f>+Sheet1!H77</f>
        <v>0</v>
      </c>
      <c r="H187" s="108"/>
      <c r="I187" s="110">
        <f>Sheet1!J77</f>
        <v>-1515.1706360493076</v>
      </c>
      <c r="J187" s="110">
        <f t="shared" si="0"/>
        <v>-1.8845405921011289</v>
      </c>
      <c r="K187" s="110" t="str">
        <f t="shared" si="1"/>
        <v/>
      </c>
      <c r="L187" s="110"/>
      <c r="M187" s="66"/>
      <c r="N187" s="116"/>
      <c r="O187" s="114"/>
    </row>
    <row r="188" spans="1:15" hidden="1" x14ac:dyDescent="0.2">
      <c r="B188" s="109">
        <v>33</v>
      </c>
      <c r="C188" s="111"/>
      <c r="D188" s="111"/>
      <c r="E188" s="108"/>
      <c r="F188" s="115">
        <f>+Sheet1!F78+Sheet1!G78</f>
        <v>53653.935125463613</v>
      </c>
      <c r="G188" s="110">
        <f>+Sheet1!H78</f>
        <v>0</v>
      </c>
      <c r="H188" s="108"/>
      <c r="I188" s="110">
        <f>Sheet1!J78</f>
        <v>-1545.4740487702938</v>
      </c>
      <c r="J188" s="110">
        <f t="shared" si="0"/>
        <v>0</v>
      </c>
      <c r="K188" s="110" t="str">
        <f t="shared" si="1"/>
        <v/>
      </c>
      <c r="L188" s="110"/>
      <c r="M188" s="66"/>
      <c r="N188" s="116"/>
      <c r="O188" s="114"/>
    </row>
    <row r="189" spans="1:15" hidden="1" x14ac:dyDescent="0.2">
      <c r="B189" s="109">
        <v>34</v>
      </c>
      <c r="C189" s="111"/>
      <c r="D189" s="111"/>
      <c r="E189" s="108"/>
      <c r="F189" s="115">
        <f>+Sheet1!F79+Sheet1!G79</f>
        <v>53648.617631951063</v>
      </c>
      <c r="G189" s="110">
        <f>+Sheet1!H79</f>
        <v>0</v>
      </c>
      <c r="H189" s="108"/>
      <c r="I189" s="110">
        <f>Sheet1!J79</f>
        <v>-1576.3835297456997</v>
      </c>
      <c r="J189" s="110">
        <f t="shared" si="0"/>
        <v>0</v>
      </c>
      <c r="K189" s="110" t="str">
        <f t="shared" si="1"/>
        <v/>
      </c>
      <c r="L189" s="110"/>
      <c r="M189" s="66"/>
      <c r="N189" s="116"/>
      <c r="O189" s="114"/>
    </row>
    <row r="190" spans="1:15" hidden="1" x14ac:dyDescent="0.2">
      <c r="B190" s="109">
        <v>35</v>
      </c>
      <c r="C190" s="111"/>
      <c r="D190" s="111"/>
      <c r="E190" s="108"/>
      <c r="F190" s="115">
        <f>+Sheet1!F80+Sheet1!G80</f>
        <v>53643.300670187877</v>
      </c>
      <c r="G190" s="110">
        <f>+Sheet1!H80</f>
        <v>0</v>
      </c>
      <c r="H190" s="108"/>
      <c r="I190" s="110">
        <f>Sheet1!J80</f>
        <v>-1607.9112003406135</v>
      </c>
      <c r="J190" s="110">
        <f t="shared" si="0"/>
        <v>0</v>
      </c>
      <c r="K190" s="110" t="str">
        <f t="shared" si="1"/>
        <v/>
      </c>
      <c r="L190" s="110"/>
      <c r="M190" s="66"/>
      <c r="N190" s="116"/>
      <c r="O190" s="114"/>
    </row>
    <row r="191" spans="1:15" hidden="1" x14ac:dyDescent="0.2">
      <c r="A191" s="4"/>
      <c r="B191" s="88" t="s">
        <v>8</v>
      </c>
      <c r="C191" s="89">
        <f>SUM(C155:C190)</f>
        <v>-401956</v>
      </c>
      <c r="D191" s="90">
        <f>SUM(D156:D190)</f>
        <v>0</v>
      </c>
      <c r="E191" s="89">
        <f t="shared" ref="E191:K191" si="2">SUM(E155:E190)</f>
        <v>0</v>
      </c>
      <c r="F191" s="89">
        <f t="shared" si="2"/>
        <v>1477179.7714329886</v>
      </c>
      <c r="G191" s="89">
        <f t="shared" si="2"/>
        <v>-463392.38574633677</v>
      </c>
      <c r="H191" s="89">
        <f t="shared" si="2"/>
        <v>0</v>
      </c>
      <c r="I191" s="89">
        <f t="shared" si="2"/>
        <v>-32019.824019906293</v>
      </c>
      <c r="J191" s="89">
        <f t="shared" si="2"/>
        <v>-11.615068484384057</v>
      </c>
      <c r="K191" s="89">
        <f t="shared" si="2"/>
        <v>-467251.31738462701</v>
      </c>
      <c r="L191" s="89"/>
      <c r="M191" s="90"/>
      <c r="N191" s="92"/>
      <c r="O191" s="91"/>
    </row>
    <row r="192" spans="1:15" ht="13.5" hidden="1" customHeight="1" x14ac:dyDescent="0.2">
      <c r="A192" s="4"/>
      <c r="B192" s="16"/>
      <c r="C192" s="4"/>
      <c r="D192" s="4"/>
      <c r="E192" s="4"/>
      <c r="F192" s="4"/>
      <c r="G192" s="4"/>
      <c r="H192" s="4"/>
      <c r="I192" s="4"/>
      <c r="J192" s="4"/>
      <c r="K192" s="127"/>
      <c r="L192" s="127"/>
      <c r="M192" s="127"/>
      <c r="N192" s="127"/>
      <c r="O192" s="18"/>
    </row>
    <row r="193" spans="1:17" x14ac:dyDescent="0.2">
      <c r="A193" s="4"/>
      <c r="B193" s="16"/>
      <c r="C193" s="131" t="s">
        <v>64</v>
      </c>
      <c r="D193" s="81"/>
      <c r="E193" s="81"/>
      <c r="F193" s="81"/>
      <c r="G193" s="81"/>
      <c r="H193" s="81"/>
      <c r="I193" s="81"/>
      <c r="J193" s="81"/>
      <c r="K193" s="82"/>
      <c r="L193" s="4"/>
      <c r="M193" s="4"/>
      <c r="N193" s="4"/>
      <c r="O193" s="17"/>
      <c r="P193" s="4"/>
      <c r="Q193" s="4"/>
    </row>
    <row r="194" spans="1:17" x14ac:dyDescent="0.2">
      <c r="A194" s="4"/>
      <c r="B194" s="16"/>
      <c r="C194" s="132"/>
      <c r="D194" s="4"/>
      <c r="E194" s="4"/>
      <c r="F194" s="72"/>
      <c r="G194" s="72"/>
      <c r="H194" s="72"/>
      <c r="I194" s="4"/>
      <c r="J194" s="4"/>
      <c r="K194" s="73"/>
      <c r="L194" s="4"/>
      <c r="M194" s="4"/>
      <c r="N194" s="4"/>
      <c r="O194" s="17"/>
      <c r="P194" s="4"/>
      <c r="Q194" s="4"/>
    </row>
    <row r="195" spans="1:17" x14ac:dyDescent="0.2">
      <c r="A195" s="4"/>
      <c r="B195" s="16"/>
      <c r="C195" s="133" t="s">
        <v>65</v>
      </c>
      <c r="D195" s="4"/>
      <c r="E195" s="4"/>
      <c r="F195" s="72"/>
      <c r="G195" s="72"/>
      <c r="H195" s="74" t="s">
        <v>66</v>
      </c>
      <c r="I195" s="4"/>
      <c r="J195" s="4"/>
      <c r="K195" s="73"/>
      <c r="L195" s="4"/>
      <c r="M195" s="4"/>
      <c r="N195" s="4"/>
      <c r="O195" s="17"/>
      <c r="P195" s="4"/>
      <c r="Q195" s="4"/>
    </row>
    <row r="196" spans="1:17" x14ac:dyDescent="0.2">
      <c r="A196" s="4"/>
      <c r="B196" s="16"/>
      <c r="C196" s="132" t="s">
        <v>85</v>
      </c>
      <c r="D196" s="4"/>
      <c r="E196" s="4"/>
      <c r="F196" s="164">
        <f>+Sheet1!L41</f>
        <v>0.10011887333328451</v>
      </c>
      <c r="G196" s="72"/>
      <c r="H196" s="72" t="s">
        <v>67</v>
      </c>
      <c r="I196" s="4"/>
      <c r="J196" s="4"/>
      <c r="K196" s="99">
        <f>+YEAR(K10)-YEAR(J10)</f>
        <v>2</v>
      </c>
      <c r="L196" s="4"/>
      <c r="M196" s="4"/>
      <c r="N196" s="4"/>
      <c r="O196" s="17"/>
      <c r="P196" s="4"/>
      <c r="Q196" s="4"/>
    </row>
    <row r="197" spans="1:17" x14ac:dyDescent="0.2">
      <c r="A197" s="4"/>
      <c r="B197" s="16"/>
      <c r="C197" s="132" t="s">
        <v>86</v>
      </c>
      <c r="D197" s="4"/>
      <c r="E197" s="4"/>
      <c r="F197" s="165">
        <f>+Sheet1!M41</f>
        <v>135797.05314350047</v>
      </c>
      <c r="G197" s="72"/>
      <c r="H197" s="72" t="s">
        <v>68</v>
      </c>
      <c r="I197" s="4"/>
      <c r="J197" s="4"/>
      <c r="K197" s="167"/>
      <c r="L197" s="4"/>
      <c r="M197" s="4"/>
      <c r="N197" s="4"/>
      <c r="O197" s="17"/>
      <c r="P197" s="4"/>
      <c r="Q197" s="4"/>
    </row>
    <row r="198" spans="1:17" x14ac:dyDescent="0.2">
      <c r="A198" s="4"/>
      <c r="B198" s="16"/>
      <c r="C198" s="132" t="s">
        <v>87</v>
      </c>
      <c r="D198" s="4"/>
      <c r="E198" s="4"/>
      <c r="F198" s="164">
        <f>+Sheet1!O81</f>
        <v>-7.9739887075149785E-2</v>
      </c>
      <c r="G198" s="72"/>
      <c r="H198" s="72" t="s">
        <v>69</v>
      </c>
      <c r="I198" s="4"/>
      <c r="J198" s="4"/>
      <c r="K198" s="167"/>
      <c r="L198" s="4"/>
      <c r="M198" s="4"/>
      <c r="N198" s="4"/>
      <c r="O198" s="17"/>
      <c r="P198" s="4"/>
      <c r="Q198" s="4"/>
    </row>
    <row r="199" spans="1:17" x14ac:dyDescent="0.2">
      <c r="A199" s="4"/>
      <c r="B199" s="16"/>
      <c r="C199" s="132" t="s">
        <v>88</v>
      </c>
      <c r="D199" s="4"/>
      <c r="E199" s="4"/>
      <c r="F199" s="165">
        <f>+NPV($K$53,Sheet1!L45:L65)</f>
        <v>-12300.330678344772</v>
      </c>
      <c r="G199" s="72"/>
      <c r="H199" s="72"/>
      <c r="I199" s="4"/>
      <c r="J199" s="4"/>
      <c r="K199" s="73"/>
      <c r="L199" s="4"/>
      <c r="M199" s="4"/>
      <c r="N199" s="4"/>
      <c r="O199" s="17"/>
      <c r="P199" s="4"/>
      <c r="Q199" s="4"/>
    </row>
    <row r="200" spans="1:17" x14ac:dyDescent="0.2">
      <c r="A200" s="4"/>
      <c r="B200" s="16"/>
      <c r="C200" s="132" t="s">
        <v>70</v>
      </c>
      <c r="D200" s="4"/>
      <c r="E200" s="4"/>
      <c r="F200" s="164">
        <f>+K53</f>
        <v>5.3000000000000005E-2</v>
      </c>
      <c r="G200" s="80"/>
      <c r="H200" s="72"/>
      <c r="I200" s="4"/>
      <c r="J200" s="4"/>
      <c r="K200" s="73"/>
      <c r="L200" s="4"/>
      <c r="M200" s="4"/>
      <c r="N200" s="4"/>
      <c r="O200" s="17"/>
      <c r="P200" s="4"/>
      <c r="Q200" s="4"/>
    </row>
    <row r="201" spans="1:17" x14ac:dyDescent="0.2">
      <c r="A201" s="4"/>
      <c r="B201" s="16"/>
      <c r="C201" s="132" t="s">
        <v>89</v>
      </c>
      <c r="D201" s="4"/>
      <c r="E201" s="4"/>
      <c r="F201" s="166">
        <f>+Sheet1!K41</f>
        <v>7</v>
      </c>
      <c r="G201" s="80"/>
      <c r="H201" s="74" t="s">
        <v>71</v>
      </c>
      <c r="I201" s="4"/>
      <c r="J201" s="4"/>
      <c r="K201" s="73"/>
      <c r="L201" s="4"/>
      <c r="M201" s="4"/>
      <c r="N201" s="4"/>
      <c r="O201" s="17"/>
      <c r="P201" s="4"/>
      <c r="Q201" s="4"/>
    </row>
    <row r="202" spans="1:17" x14ac:dyDescent="0.2">
      <c r="A202" s="4"/>
      <c r="B202" s="16"/>
      <c r="C202" s="132" t="s">
        <v>90</v>
      </c>
      <c r="D202" s="4"/>
      <c r="E202" s="4"/>
      <c r="F202" s="166">
        <f>+Sheet1!N81</f>
        <v>15</v>
      </c>
      <c r="G202" s="80"/>
      <c r="H202" s="126" t="s">
        <v>72</v>
      </c>
      <c r="I202" s="128"/>
      <c r="J202" s="4"/>
      <c r="K202" s="167"/>
      <c r="L202" s="4"/>
      <c r="M202" s="4"/>
      <c r="N202" s="4"/>
      <c r="O202" s="17"/>
      <c r="P202" s="4"/>
      <c r="Q202" s="4"/>
    </row>
    <row r="203" spans="1:17" x14ac:dyDescent="0.2">
      <c r="A203" s="4"/>
      <c r="B203" s="16"/>
      <c r="C203" s="77"/>
      <c r="D203" s="4"/>
      <c r="E203" s="4"/>
      <c r="F203" s="4"/>
      <c r="G203" s="80"/>
      <c r="H203" s="261" t="s">
        <v>73</v>
      </c>
      <c r="I203" s="261"/>
      <c r="J203" s="4"/>
      <c r="K203" s="167"/>
      <c r="L203" s="4"/>
      <c r="M203" s="4"/>
      <c r="N203" s="4"/>
      <c r="O203" s="17"/>
      <c r="P203" s="4"/>
      <c r="Q203" s="4"/>
    </row>
    <row r="204" spans="1:17" x14ac:dyDescent="0.2">
      <c r="A204" s="4"/>
      <c r="B204" s="16"/>
      <c r="C204" s="133" t="s">
        <v>76</v>
      </c>
      <c r="D204" s="4"/>
      <c r="E204" s="4"/>
      <c r="F204" s="72"/>
      <c r="G204" s="72"/>
      <c r="H204" s="84" t="s">
        <v>74</v>
      </c>
      <c r="I204" s="128"/>
      <c r="J204" s="4"/>
      <c r="K204" s="167"/>
      <c r="L204" s="4"/>
      <c r="M204" s="4"/>
      <c r="N204" s="4"/>
      <c r="O204" s="17"/>
      <c r="P204" s="4"/>
      <c r="Q204" s="4"/>
    </row>
    <row r="205" spans="1:17" x14ac:dyDescent="0.2">
      <c r="A205" s="4"/>
      <c r="B205" s="16"/>
      <c r="C205" s="132" t="s">
        <v>78</v>
      </c>
      <c r="D205" s="4"/>
      <c r="E205" s="4"/>
      <c r="F205" s="167"/>
      <c r="G205" s="72"/>
      <c r="H205" s="261" t="s">
        <v>75</v>
      </c>
      <c r="I205" s="261"/>
      <c r="J205" s="4"/>
      <c r="K205" s="167"/>
      <c r="L205" s="4"/>
      <c r="M205" s="4"/>
      <c r="N205" s="4"/>
      <c r="O205" s="17"/>
      <c r="P205" s="4"/>
      <c r="Q205" s="4"/>
    </row>
    <row r="206" spans="1:17" x14ac:dyDescent="0.2">
      <c r="A206" s="4"/>
      <c r="B206" s="16"/>
      <c r="C206" s="132" t="s">
        <v>80</v>
      </c>
      <c r="D206" s="4"/>
      <c r="E206" s="4"/>
      <c r="F206" s="167"/>
      <c r="G206" s="72"/>
      <c r="H206" s="261" t="s">
        <v>77</v>
      </c>
      <c r="I206" s="261"/>
      <c r="J206" s="4"/>
      <c r="K206" s="167"/>
      <c r="L206" s="4"/>
      <c r="M206" s="4"/>
      <c r="N206" s="4"/>
      <c r="O206" s="17"/>
      <c r="P206" s="4"/>
      <c r="Q206" s="4"/>
    </row>
    <row r="207" spans="1:17" x14ac:dyDescent="0.2">
      <c r="A207" s="4"/>
      <c r="B207" s="16"/>
      <c r="C207" s="132" t="s">
        <v>82</v>
      </c>
      <c r="D207" s="4"/>
      <c r="E207" s="4"/>
      <c r="F207" s="167"/>
      <c r="G207" s="72"/>
      <c r="H207" s="126" t="s">
        <v>79</v>
      </c>
      <c r="I207" s="126"/>
      <c r="J207" s="4"/>
      <c r="K207" s="167"/>
      <c r="L207" s="4"/>
      <c r="M207" s="4"/>
      <c r="N207" s="4"/>
      <c r="O207" s="17"/>
      <c r="P207" s="4"/>
      <c r="Q207" s="4"/>
    </row>
    <row r="208" spans="1:17" x14ac:dyDescent="0.2">
      <c r="A208" s="4"/>
      <c r="B208" s="16"/>
      <c r="C208" s="132" t="s">
        <v>84</v>
      </c>
      <c r="D208" s="4"/>
      <c r="E208" s="4"/>
      <c r="F208" s="167"/>
      <c r="G208" s="72"/>
      <c r="H208" s="126" t="s">
        <v>81</v>
      </c>
      <c r="I208" s="128"/>
      <c r="J208" s="4"/>
      <c r="K208" s="168"/>
      <c r="L208" s="4"/>
      <c r="M208" s="4"/>
      <c r="N208" s="4"/>
      <c r="O208" s="17"/>
      <c r="P208" s="4"/>
      <c r="Q208" s="4"/>
    </row>
    <row r="209" spans="1:20" x14ac:dyDescent="0.2">
      <c r="A209" s="4"/>
      <c r="B209" s="16"/>
      <c r="C209" s="134"/>
      <c r="D209" s="76"/>
      <c r="E209" s="76"/>
      <c r="F209" s="76"/>
      <c r="G209" s="83"/>
      <c r="H209" s="85" t="s">
        <v>83</v>
      </c>
      <c r="I209" s="129"/>
      <c r="J209" s="76"/>
      <c r="K209" s="135"/>
      <c r="L209" s="77"/>
      <c r="M209" s="4"/>
      <c r="N209" s="4"/>
      <c r="O209" s="17"/>
      <c r="P209" s="4"/>
      <c r="Q209" s="4"/>
    </row>
    <row r="210" spans="1:20" ht="13.5" thickBot="1" x14ac:dyDescent="0.25">
      <c r="A210" s="4"/>
      <c r="B210" s="96"/>
      <c r="C210" s="97"/>
      <c r="D210" s="97"/>
      <c r="E210" s="97"/>
      <c r="F210" s="97"/>
      <c r="G210" s="97"/>
      <c r="H210" s="97"/>
      <c r="I210" s="97"/>
      <c r="J210" s="97"/>
      <c r="K210" s="97"/>
      <c r="L210" s="97"/>
      <c r="M210" s="97"/>
      <c r="N210" s="97"/>
      <c r="O210" s="98"/>
    </row>
    <row r="212" spans="1:20" ht="17.25" hidden="1" customHeight="1" x14ac:dyDescent="0.2">
      <c r="R212" s="72"/>
    </row>
    <row r="213" spans="1:20" hidden="1" x14ac:dyDescent="0.2">
      <c r="R213" s="72"/>
    </row>
    <row r="214" spans="1:20" hidden="1" x14ac:dyDescent="0.2">
      <c r="R214" s="72"/>
    </row>
    <row r="215" spans="1:20" hidden="1" x14ac:dyDescent="0.2">
      <c r="P215" s="4"/>
      <c r="Q215" s="4"/>
      <c r="R215" s="72"/>
      <c r="S215" s="72"/>
      <c r="T215" s="72"/>
    </row>
    <row r="216" spans="1:20" hidden="1" x14ac:dyDescent="0.2">
      <c r="P216" s="72"/>
      <c r="Q216" s="72"/>
      <c r="R216" s="72"/>
      <c r="S216" s="72"/>
      <c r="T216" s="72"/>
    </row>
    <row r="217" spans="1:20" hidden="1" x14ac:dyDescent="0.2"/>
    <row r="218" spans="1:20" hidden="1" x14ac:dyDescent="0.2"/>
    <row r="219" spans="1:20" hidden="1" x14ac:dyDescent="0.2"/>
    <row r="220" spans="1:20" hidden="1" x14ac:dyDescent="0.2"/>
    <row r="221" spans="1:20" hidden="1" x14ac:dyDescent="0.2"/>
    <row r="222" spans="1:20" hidden="1" x14ac:dyDescent="0.2"/>
    <row r="223" spans="1:20" hidden="1" x14ac:dyDescent="0.2"/>
    <row r="224" spans="1:20" hidden="1" x14ac:dyDescent="0.2"/>
    <row r="225" hidden="1" x14ac:dyDescent="0.2"/>
    <row r="226" hidden="1" x14ac:dyDescent="0.2"/>
    <row r="227" hidden="1" x14ac:dyDescent="0.2"/>
    <row r="228" hidden="1" x14ac:dyDescent="0.2"/>
    <row r="229" ht="9.75" hidden="1" customHeight="1" x14ac:dyDescent="0.2"/>
    <row r="230" hidden="1" x14ac:dyDescent="0.2"/>
    <row r="231" hidden="1" x14ac:dyDescent="0.2"/>
    <row r="232" hidden="1" outlineLevel="1" x14ac:dyDescent="0.2"/>
    <row r="233" hidden="1" outlineLevel="1" x14ac:dyDescent="0.2"/>
    <row r="234" hidden="1" outlineLevel="1" x14ac:dyDescent="0.2"/>
    <row r="235" hidden="1" outlineLevel="1" x14ac:dyDescent="0.2"/>
    <row r="236" hidden="1" outlineLevel="1" x14ac:dyDescent="0.2"/>
    <row r="237" hidden="1" outlineLevel="1" x14ac:dyDescent="0.2"/>
    <row r="238" hidden="1" outlineLevel="1" x14ac:dyDescent="0.2"/>
    <row r="239" hidden="1" outlineLevel="1" x14ac:dyDescent="0.2"/>
    <row r="240" hidden="1" outlineLevel="1" x14ac:dyDescent="0.2"/>
    <row r="241" hidden="1" outlineLevel="1" x14ac:dyDescent="0.2"/>
    <row r="242" hidden="1" outlineLevel="1" x14ac:dyDescent="0.2"/>
    <row r="243" hidden="1" outlineLevel="1" x14ac:dyDescent="0.2"/>
    <row r="244" hidden="1" outlineLevel="1" x14ac:dyDescent="0.2"/>
    <row r="245" hidden="1" outlineLevel="1" x14ac:dyDescent="0.2"/>
    <row r="246" hidden="1" outlineLevel="1" x14ac:dyDescent="0.2"/>
    <row r="247" hidden="1" outlineLevel="1" x14ac:dyDescent="0.2"/>
    <row r="248" hidden="1" outlineLevel="1" x14ac:dyDescent="0.2"/>
    <row r="249" hidden="1" outlineLevel="1" x14ac:dyDescent="0.2"/>
    <row r="250" hidden="1" outlineLevel="1" x14ac:dyDescent="0.2"/>
    <row r="251" hidden="1" outlineLevel="1" x14ac:dyDescent="0.2"/>
    <row r="252" hidden="1" outlineLevel="1" x14ac:dyDescent="0.2"/>
    <row r="253" hidden="1" outlineLevel="1" x14ac:dyDescent="0.2"/>
    <row r="254" hidden="1" outlineLevel="1" x14ac:dyDescent="0.2"/>
    <row r="255" hidden="1" outlineLevel="1" x14ac:dyDescent="0.2"/>
    <row r="256" hidden="1" collapsed="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spans="2:15" hidden="1" x14ac:dyDescent="0.2"/>
    <row r="290" spans="2:15" ht="18.75" x14ac:dyDescent="0.3">
      <c r="B290" s="252" t="s">
        <v>96</v>
      </c>
      <c r="C290" s="252"/>
      <c r="D290" s="252"/>
      <c r="E290" s="252"/>
      <c r="F290" s="252"/>
      <c r="G290" s="252"/>
      <c r="H290" s="252"/>
      <c r="I290" s="252"/>
      <c r="J290" s="252"/>
      <c r="K290" s="252"/>
      <c r="L290" s="252"/>
      <c r="M290" s="252"/>
      <c r="N290" s="252"/>
      <c r="O290" s="252"/>
    </row>
  </sheetData>
  <sheetProtection password="CD21" sheet="1" objects="1" scenarios="1" selectLockedCells="1"/>
  <dataConsolidate/>
  <mergeCells count="68">
    <mergeCell ref="J65:K67"/>
    <mergeCell ref="C25:K25"/>
    <mergeCell ref="C40:K40"/>
    <mergeCell ref="C41:K41"/>
    <mergeCell ref="C33:J33"/>
    <mergeCell ref="C32:K32"/>
    <mergeCell ref="C26:I26"/>
    <mergeCell ref="C36:J36"/>
    <mergeCell ref="C30:I30"/>
    <mergeCell ref="C45:J45"/>
    <mergeCell ref="C48:J48"/>
    <mergeCell ref="C49:J49"/>
    <mergeCell ref="E59:F59"/>
    <mergeCell ref="C50:J50"/>
    <mergeCell ref="C58:C61"/>
    <mergeCell ref="E61:F61"/>
    <mergeCell ref="B290:O290"/>
    <mergeCell ref="E65:H65"/>
    <mergeCell ref="E66:H66"/>
    <mergeCell ref="E67:H67"/>
    <mergeCell ref="C37:J37"/>
    <mergeCell ref="C69:K70"/>
    <mergeCell ref="E62:F63"/>
    <mergeCell ref="C64:K64"/>
    <mergeCell ref="H206:I206"/>
    <mergeCell ref="H205:I205"/>
    <mergeCell ref="H203:I203"/>
    <mergeCell ref="C38:J38"/>
    <mergeCell ref="C65:C68"/>
    <mergeCell ref="E68:H68"/>
    <mergeCell ref="C57:K57"/>
    <mergeCell ref="E60:F60"/>
    <mergeCell ref="C2:K2"/>
    <mergeCell ref="C3:K3"/>
    <mergeCell ref="C4:K4"/>
    <mergeCell ref="C5:K5"/>
    <mergeCell ref="C6:K6"/>
    <mergeCell ref="J7:K7"/>
    <mergeCell ref="C7:I7"/>
    <mergeCell ref="J8:K8"/>
    <mergeCell ref="C8:I8"/>
    <mergeCell ref="J9:K9"/>
    <mergeCell ref="C9:I9"/>
    <mergeCell ref="C29:I29"/>
    <mergeCell ref="C11:H11"/>
    <mergeCell ref="C14:H14"/>
    <mergeCell ref="C15:H15"/>
    <mergeCell ref="C12:K12"/>
    <mergeCell ref="C13:K13"/>
    <mergeCell ref="C18:H18"/>
    <mergeCell ref="C19:H19"/>
    <mergeCell ref="C24:K24"/>
    <mergeCell ref="C17:H17"/>
    <mergeCell ref="C20:H20"/>
    <mergeCell ref="C16:H16"/>
    <mergeCell ref="C22:I22"/>
    <mergeCell ref="C31:K31"/>
    <mergeCell ref="C44:J44"/>
    <mergeCell ref="E58:F58"/>
    <mergeCell ref="C51:K51"/>
    <mergeCell ref="C34:J34"/>
    <mergeCell ref="C39:J39"/>
    <mergeCell ref="C35:J35"/>
    <mergeCell ref="C46:J46"/>
    <mergeCell ref="C47:J47"/>
    <mergeCell ref="C52:K52"/>
    <mergeCell ref="C42:J42"/>
    <mergeCell ref="C43:J43"/>
  </mergeCells>
  <conditionalFormatting sqref="J156:J190">
    <cfRule type="cellIs" dxfId="13" priority="16" operator="lessThan">
      <formula>0</formula>
    </cfRule>
  </conditionalFormatting>
  <conditionalFormatting sqref="I67">
    <cfRule type="cellIs" dxfId="12" priority="9" operator="greaterThan">
      <formula>22</formula>
    </cfRule>
    <cfRule type="cellIs" dxfId="11" priority="10" operator="greaterThan">
      <formula>22</formula>
    </cfRule>
    <cfRule type="cellIs" dxfId="10" priority="11" operator="greaterThan">
      <formula>21</formula>
    </cfRule>
    <cfRule type="cellIs" dxfId="9" priority="12" operator="greaterThan">
      <formula>20</formula>
    </cfRule>
  </conditionalFormatting>
  <conditionalFormatting sqref="B155:B190">
    <cfRule type="cellIs" dxfId="8" priority="8" operator="equal">
      <formula>$K$11</formula>
    </cfRule>
  </conditionalFormatting>
  <conditionalFormatting sqref="I54">
    <cfRule type="expression" dxfId="7" priority="25">
      <formula>#REF!&gt;#REF!</formula>
    </cfRule>
  </conditionalFormatting>
  <printOptions headings="1"/>
  <pageMargins left="0.23622047244094491" right="0.23622047244094491" top="0.55118110236220474" bottom="0.74803149606299213" header="0.31496062992125984" footer="0.31496062992125984"/>
  <pageSetup paperSize="8" scale="65" fitToHeight="2" orientation="portrait" r:id="rId1"/>
  <headerFooter alignWithMargins="0">
    <oddFooter>&amp;L&amp;"Arial,Έντονα"&amp;9   Supported by&amp;"Arial,Κανονικά"&amp;10
&amp;G&amp;R&amp;9Page &amp;P of &amp;N</oddFooter>
  </headerFooter>
  <rowBreaks count="1" manualBreakCount="1">
    <brk id="111" min="1" max="14"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heetViews>
  <sheetFormatPr defaultRowHeight="12.75" x14ac:dyDescent="0.2"/>
  <sheetData/>
  <sheetProtection password="CD21"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vt:i4>
      </vt:variant>
    </vt:vector>
  </HeadingPairs>
  <TitlesOfParts>
    <vt:vector size="14" baseType="lpstr">
      <vt:lpstr>Cover</vt:lpstr>
      <vt:lpstr>Summary sheet</vt:lpstr>
      <vt:lpstr>Project details</vt:lpstr>
      <vt:lpstr>Statement of originality</vt:lpstr>
      <vt:lpstr>Contents</vt:lpstr>
      <vt:lpstr>CERtuS in brief</vt:lpstr>
      <vt:lpstr>About</vt:lpstr>
      <vt:lpstr>ACTION</vt:lpstr>
      <vt:lpstr>Help</vt:lpstr>
      <vt:lpstr>Example</vt:lpstr>
      <vt:lpstr>Acknowledgements</vt:lpstr>
      <vt:lpstr>CERtuS partners</vt:lpstr>
      <vt:lpstr>Sheet1</vt:lpstr>
      <vt:lpstr>ACTION!Area_stampa</vt:lpstr>
    </vt:vector>
  </TitlesOfParts>
  <Company>ETVA VIPE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Vartholomaios</dc:creator>
  <cp:lastModifiedBy>Biasco Chiara</cp:lastModifiedBy>
  <cp:lastPrinted>2016-04-04T15:04:35Z</cp:lastPrinted>
  <dcterms:created xsi:type="dcterms:W3CDTF">2013-05-17T08:39:28Z</dcterms:created>
  <dcterms:modified xsi:type="dcterms:W3CDTF">2019-12-02T08:31:50Z</dcterms:modified>
</cp:coreProperties>
</file>